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5" windowHeight="8700" tabRatio="785" firstSheet="7" activeTab="8"/>
  </bookViews>
  <sheets>
    <sheet name="Прайс пром." sheetId="5" state="hidden" r:id="rId1"/>
    <sheet name="прайс пром.2" sheetId="7" state="hidden" r:id="rId2"/>
    <sheet name="прайс быт." sheetId="8" state="hidden" r:id="rId3"/>
    <sheet name="Прайс пром. mini" sheetId="12" state="hidden" r:id="rId4"/>
    <sheet name="Прайс пром. розница" sheetId="10" state="hidden" r:id="rId5"/>
    <sheet name="прайс пром.2 розница" sheetId="11" state="hidden" r:id="rId6"/>
    <sheet name="прайс быт. розница" sheetId="9" state="hidden" r:id="rId7"/>
    <sheet name="Прайс опт полный " sheetId="13" r:id="rId8"/>
    <sheet name="Прайс опт кратко" sheetId="21" r:id="rId9"/>
    <sheet name="Прайс+15 " sheetId="15" state="hidden" r:id="rId10"/>
    <sheet name="Прайс+30" sheetId="19" state="hidden" r:id="rId11"/>
    <sheet name="Лист1" sheetId="20" state="hidden" r:id="rId12"/>
  </sheets>
  <externalReferences>
    <externalReference r:id="rId13"/>
    <externalReference r:id="rId14"/>
  </externalReferences>
  <definedNames>
    <definedName name="E" localSheetId="6">'прайс быт. розница'!#REF!</definedName>
    <definedName name="E">'прайс быт.'!$I:$I</definedName>
    <definedName name="H" localSheetId="6">'прайс быт. розница'!#REF!</definedName>
    <definedName name="H">'прайс быт.'!#REF!</definedName>
    <definedName name="I" localSheetId="6">'прайс быт. розница'!#REF!</definedName>
    <definedName name="I">'прайс быт.'!#REF!</definedName>
    <definedName name="_xlnm.Print_Area" localSheetId="2">'прайс быт.'!$B$1:$K$57</definedName>
    <definedName name="_xlnm.Print_Area" localSheetId="6">'прайс быт. розница'!$B$1:$K$51</definedName>
    <definedName name="_xlnm.Print_Area" localSheetId="7">'Прайс опт полный '!$A$1:$U$84</definedName>
    <definedName name="_xlnm.Print_Area" localSheetId="0">'Прайс пром.'!$A$1:$AA$50</definedName>
    <definedName name="_xlnm.Print_Area" localSheetId="4">'Прайс пром. розница'!$A$1:$N$46</definedName>
    <definedName name="_xlnm.Print_Area" localSheetId="1">'прайс пром.2'!$A$1:$N$34</definedName>
    <definedName name="_xlnm.Print_Area" localSheetId="5">'прайс пром.2 розница'!$A$1:$N$34</definedName>
  </definedNames>
  <calcPr calcId="125725" fullPrecision="0"/>
</workbook>
</file>

<file path=xl/calcChain.xml><?xml version="1.0" encoding="utf-8"?>
<calcChain xmlns="http://schemas.openxmlformats.org/spreadsheetml/2006/main">
  <c r="S16" i="13"/>
  <c r="U7"/>
  <c r="U11" l="1"/>
  <c r="U9"/>
  <c r="U8"/>
  <c r="W7" l="1"/>
  <c r="U84"/>
  <c r="V84" s="1"/>
  <c r="U83"/>
  <c r="T83" s="1"/>
  <c r="M83" s="1"/>
  <c r="U82"/>
  <c r="T82" s="1"/>
  <c r="M82" s="1"/>
  <c r="U81"/>
  <c r="U80"/>
  <c r="V80" s="1"/>
  <c r="U78"/>
  <c r="W78" s="1"/>
  <c r="U77"/>
  <c r="W77" s="1"/>
  <c r="U76"/>
  <c r="U75"/>
  <c r="W75" s="1"/>
  <c r="U74"/>
  <c r="T74" s="1"/>
  <c r="M74" s="1"/>
  <c r="U72"/>
  <c r="W72" s="1"/>
  <c r="U70"/>
  <c r="U67"/>
  <c r="V67" s="1"/>
  <c r="U64"/>
  <c r="W64" s="1"/>
  <c r="U63"/>
  <c r="W63" s="1"/>
  <c r="U62"/>
  <c r="U61"/>
  <c r="W61" s="1"/>
  <c r="U60"/>
  <c r="U59"/>
  <c r="W59" s="1"/>
  <c r="U58"/>
  <c r="U57"/>
  <c r="W57" s="1"/>
  <c r="U56"/>
  <c r="V56" s="1"/>
  <c r="U55"/>
  <c r="U54"/>
  <c r="U53"/>
  <c r="U52"/>
  <c r="U51"/>
  <c r="W51" s="1"/>
  <c r="U50"/>
  <c r="U49"/>
  <c r="V49" s="1"/>
  <c r="U48"/>
  <c r="T48" s="1"/>
  <c r="M48" s="1"/>
  <c r="U45"/>
  <c r="W45" s="1"/>
  <c r="U44"/>
  <c r="U43"/>
  <c r="W43" s="1"/>
  <c r="U42"/>
  <c r="T42" s="1"/>
  <c r="M42" s="1"/>
  <c r="U41"/>
  <c r="W41" s="1"/>
  <c r="U40"/>
  <c r="U39"/>
  <c r="T39" s="1"/>
  <c r="M39" s="1"/>
  <c r="U38"/>
  <c r="T38" s="1"/>
  <c r="M38" s="1"/>
  <c r="U37"/>
  <c r="W37" s="1"/>
  <c r="U36"/>
  <c r="U35"/>
  <c r="T35" s="1"/>
  <c r="M35" s="1"/>
  <c r="U34"/>
  <c r="V34" s="1"/>
  <c r="U33"/>
  <c r="T33" s="1"/>
  <c r="M33" s="1"/>
  <c r="U32"/>
  <c r="U31"/>
  <c r="V31" s="1"/>
  <c r="U30"/>
  <c r="T30" s="1"/>
  <c r="N30" s="1"/>
  <c r="U29"/>
  <c r="W29" s="1"/>
  <c r="U27"/>
  <c r="U26"/>
  <c r="W26" s="1"/>
  <c r="U25"/>
  <c r="T25" s="1"/>
  <c r="U24"/>
  <c r="W24" s="1"/>
  <c r="U23"/>
  <c r="U22"/>
  <c r="V22" s="1"/>
  <c r="U21"/>
  <c r="T21" s="1"/>
  <c r="U20"/>
  <c r="W20" s="1"/>
  <c r="U19"/>
  <c r="U18"/>
  <c r="V18" s="1"/>
  <c r="U17"/>
  <c r="V17" s="1"/>
  <c r="U16"/>
  <c r="W16" s="1"/>
  <c r="U15"/>
  <c r="U14"/>
  <c r="T14" s="1"/>
  <c r="U13"/>
  <c r="W13" s="1"/>
  <c r="U12"/>
  <c r="V12" s="1"/>
  <c r="U10"/>
  <c r="W10" s="1"/>
  <c r="T9"/>
  <c r="T8"/>
  <c r="N8" s="1"/>
  <c r="O84"/>
  <c r="O83"/>
  <c r="O82"/>
  <c r="W81"/>
  <c r="V81"/>
  <c r="T81"/>
  <c r="M81" s="1"/>
  <c r="O81"/>
  <c r="O80"/>
  <c r="O78"/>
  <c r="O77"/>
  <c r="W76"/>
  <c r="V76"/>
  <c r="T76"/>
  <c r="M76" s="1"/>
  <c r="O76"/>
  <c r="O75"/>
  <c r="O74"/>
  <c r="O73"/>
  <c r="T72"/>
  <c r="M73" s="1"/>
  <c r="W70"/>
  <c r="V70"/>
  <c r="T70"/>
  <c r="M69"/>
  <c r="M68"/>
  <c r="M67"/>
  <c r="M66"/>
  <c r="M65"/>
  <c r="M64"/>
  <c r="W62"/>
  <c r="V62"/>
  <c r="T62"/>
  <c r="T59"/>
  <c r="W58"/>
  <c r="V58"/>
  <c r="T58"/>
  <c r="M53"/>
  <c r="M52"/>
  <c r="W50"/>
  <c r="V50"/>
  <c r="T50"/>
  <c r="V45"/>
  <c r="W44"/>
  <c r="V44"/>
  <c r="T44"/>
  <c r="M44" s="1"/>
  <c r="W40"/>
  <c r="V40"/>
  <c r="T40"/>
  <c r="M40" s="1"/>
  <c r="W36"/>
  <c r="V36"/>
  <c r="T36"/>
  <c r="M36" s="1"/>
  <c r="W32"/>
  <c r="V32"/>
  <c r="T32"/>
  <c r="M32" s="1"/>
  <c r="W28"/>
  <c r="V28"/>
  <c r="T28"/>
  <c r="N28" s="1"/>
  <c r="W27"/>
  <c r="V27"/>
  <c r="T27"/>
  <c r="W23"/>
  <c r="V23"/>
  <c r="T23"/>
  <c r="O23" s="1"/>
  <c r="W19"/>
  <c r="V19"/>
  <c r="T19"/>
  <c r="W15"/>
  <c r="V15"/>
  <c r="T15"/>
  <c r="S15"/>
  <c r="S14"/>
  <c r="S13"/>
  <c r="V11"/>
  <c r="S11"/>
  <c r="V10"/>
  <c r="S10"/>
  <c r="S9"/>
  <c r="S8"/>
  <c r="U84" i="21"/>
  <c r="U83"/>
  <c r="U82"/>
  <c r="U81"/>
  <c r="U80"/>
  <c r="U78"/>
  <c r="U77"/>
  <c r="U76"/>
  <c r="U75"/>
  <c r="U74"/>
  <c r="U72"/>
  <c r="U67"/>
  <c r="U64"/>
  <c r="U63"/>
  <c r="U62"/>
  <c r="U61"/>
  <c r="T16" i="13" l="1"/>
  <c r="T20"/>
  <c r="V24"/>
  <c r="W39"/>
  <c r="T80"/>
  <c r="M80" s="1"/>
  <c r="W84"/>
  <c r="V7"/>
  <c r="T7"/>
  <c r="M7" s="1"/>
  <c r="T29"/>
  <c r="O29" s="1"/>
  <c r="V33"/>
  <c r="V41"/>
  <c r="T45"/>
  <c r="T77"/>
  <c r="M77" s="1"/>
  <c r="V8"/>
  <c r="T13"/>
  <c r="O13" s="1"/>
  <c r="W25"/>
  <c r="W33"/>
  <c r="T37"/>
  <c r="M37" s="1"/>
  <c r="W48"/>
  <c r="T51"/>
  <c r="V59"/>
  <c r="T63"/>
  <c r="V82"/>
  <c r="W8"/>
  <c r="T41"/>
  <c r="M41" s="1"/>
  <c r="V51"/>
  <c r="W82"/>
  <c r="V61"/>
  <c r="W14"/>
  <c r="V21"/>
  <c r="V43"/>
  <c r="W83"/>
  <c r="V75"/>
  <c r="T18"/>
  <c r="O18" s="1"/>
  <c r="V26"/>
  <c r="W31"/>
  <c r="T49"/>
  <c r="M49" s="1"/>
  <c r="V57"/>
  <c r="V64"/>
  <c r="W67"/>
  <c r="V14"/>
  <c r="V35"/>
  <c r="T43"/>
  <c r="M43" s="1"/>
  <c r="T57"/>
  <c r="M57" s="1"/>
  <c r="W18"/>
  <c r="T31"/>
  <c r="N31" s="1"/>
  <c r="W42"/>
  <c r="W49"/>
  <c r="W80"/>
  <c r="T84"/>
  <c r="M84" s="1"/>
  <c r="V39"/>
  <c r="T61"/>
  <c r="M61" s="1"/>
  <c r="T75"/>
  <c r="M75" s="1"/>
  <c r="N23"/>
  <c r="W9"/>
  <c r="M23"/>
  <c r="V30"/>
  <c r="W74"/>
  <c r="T78"/>
  <c r="M78" s="1"/>
  <c r="V48"/>
  <c r="V74"/>
  <c r="V83"/>
  <c r="V13"/>
  <c r="V16"/>
  <c r="V20"/>
  <c r="W21"/>
  <c r="V29"/>
  <c r="W30"/>
  <c r="V37"/>
  <c r="V63"/>
  <c r="V72"/>
  <c r="V77"/>
  <c r="V78"/>
  <c r="V9"/>
  <c r="V25"/>
  <c r="O28"/>
  <c r="N29"/>
  <c r="V42"/>
  <c r="T11"/>
  <c r="T12"/>
  <c r="T17"/>
  <c r="T22"/>
  <c r="O30"/>
  <c r="T34"/>
  <c r="M34" s="1"/>
  <c r="W35"/>
  <c r="T56"/>
  <c r="M56" s="1"/>
  <c r="M8"/>
  <c r="O8"/>
  <c r="T10"/>
  <c r="W11"/>
  <c r="W12"/>
  <c r="P13"/>
  <c r="W17"/>
  <c r="W22"/>
  <c r="P23"/>
  <c r="W34"/>
  <c r="W56"/>
  <c r="U59" i="21"/>
  <c r="U58"/>
  <c r="U57"/>
  <c r="U55"/>
  <c r="U54"/>
  <c r="U53"/>
  <c r="U52"/>
  <c r="U51"/>
  <c r="U50"/>
  <c r="U49"/>
  <c r="U45"/>
  <c r="U44"/>
  <c r="U43"/>
  <c r="U42"/>
  <c r="U41"/>
  <c r="U39"/>
  <c r="U38"/>
  <c r="U31"/>
  <c r="U30"/>
  <c r="U29"/>
  <c r="U27"/>
  <c r="U26"/>
  <c r="U25"/>
  <c r="U24"/>
  <c r="U23"/>
  <c r="U21"/>
  <c r="U20"/>
  <c r="U19"/>
  <c r="U18"/>
  <c r="U16"/>
  <c r="U15"/>
  <c r="U14"/>
  <c r="U13"/>
  <c r="O7" i="13" l="1"/>
  <c r="N7"/>
  <c r="P18"/>
  <c r="N13"/>
  <c r="M13"/>
  <c r="O31"/>
  <c r="N18"/>
  <c r="M18"/>
  <c r="O17"/>
  <c r="P17"/>
  <c r="M17"/>
  <c r="N17"/>
  <c r="O22"/>
  <c r="N22"/>
  <c r="P22"/>
  <c r="M22"/>
  <c r="W60"/>
  <c r="T60"/>
  <c r="M60" s="1"/>
  <c r="V60"/>
  <c r="O12"/>
  <c r="P12"/>
  <c r="N12"/>
  <c r="M12"/>
  <c r="T25" i="21"/>
  <c r="W84"/>
  <c r="V84"/>
  <c r="T84"/>
  <c r="M84" s="1"/>
  <c r="O84"/>
  <c r="W83"/>
  <c r="V83"/>
  <c r="T83"/>
  <c r="M83" s="1"/>
  <c r="O83"/>
  <c r="W82"/>
  <c r="V82"/>
  <c r="T82"/>
  <c r="M82" s="1"/>
  <c r="O82"/>
  <c r="W81"/>
  <c r="V81"/>
  <c r="T81"/>
  <c r="M81" s="1"/>
  <c r="O81"/>
  <c r="W80"/>
  <c r="V80"/>
  <c r="T80"/>
  <c r="M80" s="1"/>
  <c r="O80"/>
  <c r="W78"/>
  <c r="V78"/>
  <c r="T78"/>
  <c r="M78" s="1"/>
  <c r="O78"/>
  <c r="W77"/>
  <c r="V77"/>
  <c r="T77"/>
  <c r="M77" s="1"/>
  <c r="O77"/>
  <c r="W76"/>
  <c r="V76"/>
  <c r="T76"/>
  <c r="M76" s="1"/>
  <c r="O76"/>
  <c r="W75"/>
  <c r="V75"/>
  <c r="T75"/>
  <c r="M75" s="1"/>
  <c r="O75"/>
  <c r="W74"/>
  <c r="V74"/>
  <c r="T74"/>
  <c r="M74" s="1"/>
  <c r="O74"/>
  <c r="O73"/>
  <c r="W72"/>
  <c r="V72"/>
  <c r="T72"/>
  <c r="M73" s="1"/>
  <c r="M69"/>
  <c r="M68"/>
  <c r="W67"/>
  <c r="V67"/>
  <c r="M67"/>
  <c r="M66"/>
  <c r="M65"/>
  <c r="W64"/>
  <c r="V64"/>
  <c r="M64"/>
  <c r="W63"/>
  <c r="V63"/>
  <c r="T63"/>
  <c r="W62"/>
  <c r="V62"/>
  <c r="T62"/>
  <c r="W61"/>
  <c r="V61"/>
  <c r="T61"/>
  <c r="M61" s="1"/>
  <c r="W59"/>
  <c r="V59"/>
  <c r="T59"/>
  <c r="W58"/>
  <c r="V58"/>
  <c r="T58"/>
  <c r="W57"/>
  <c r="V57"/>
  <c r="T57"/>
  <c r="M57" s="1"/>
  <c r="M53"/>
  <c r="M52"/>
  <c r="W51"/>
  <c r="V51"/>
  <c r="T51"/>
  <c r="W50"/>
  <c r="V50"/>
  <c r="T50"/>
  <c r="W49"/>
  <c r="V49"/>
  <c r="T49"/>
  <c r="M49" s="1"/>
  <c r="W45"/>
  <c r="V45"/>
  <c r="T45"/>
  <c r="W44"/>
  <c r="V44"/>
  <c r="T44"/>
  <c r="M44" s="1"/>
  <c r="W43"/>
  <c r="V43"/>
  <c r="T43"/>
  <c r="M43" s="1"/>
  <c r="W42"/>
  <c r="V42"/>
  <c r="T42"/>
  <c r="M42" s="1"/>
  <c r="W41"/>
  <c r="V41"/>
  <c r="T41"/>
  <c r="M41" s="1"/>
  <c r="V39"/>
  <c r="T38"/>
  <c r="M38" s="1"/>
  <c r="W31"/>
  <c r="V31"/>
  <c r="T31"/>
  <c r="N31" s="1"/>
  <c r="W30"/>
  <c r="V30"/>
  <c r="T30"/>
  <c r="O30" s="1"/>
  <c r="W29"/>
  <c r="V29"/>
  <c r="T29"/>
  <c r="N29" s="1"/>
  <c r="W28"/>
  <c r="V28"/>
  <c r="T28"/>
  <c r="N28" s="1"/>
  <c r="W27"/>
  <c r="V27"/>
  <c r="T27"/>
  <c r="W26"/>
  <c r="V26"/>
  <c r="W25"/>
  <c r="V25"/>
  <c r="W24"/>
  <c r="V24"/>
  <c r="W23"/>
  <c r="V23"/>
  <c r="T23"/>
  <c r="O23" s="1"/>
  <c r="W21"/>
  <c r="V21"/>
  <c r="T21"/>
  <c r="W20"/>
  <c r="V20"/>
  <c r="T20"/>
  <c r="W19"/>
  <c r="V19"/>
  <c r="T19"/>
  <c r="W18"/>
  <c r="V18"/>
  <c r="T18"/>
  <c r="O18" s="1"/>
  <c r="W16"/>
  <c r="V16"/>
  <c r="T16"/>
  <c r="S16"/>
  <c r="W15"/>
  <c r="V15"/>
  <c r="T15"/>
  <c r="S15"/>
  <c r="W14"/>
  <c r="V14"/>
  <c r="T14"/>
  <c r="S14"/>
  <c r="W13"/>
  <c r="V13"/>
  <c r="T13"/>
  <c r="O13" s="1"/>
  <c r="S13"/>
  <c r="S11"/>
  <c r="S10"/>
  <c r="S9"/>
  <c r="S8"/>
  <c r="U6" i="19"/>
  <c r="U7"/>
  <c r="U8"/>
  <c r="U9"/>
  <c r="U10"/>
  <c r="U11"/>
  <c r="U16"/>
  <c r="U21"/>
  <c r="Q13" i="15"/>
  <c r="U74"/>
  <c r="U73"/>
  <c r="U48"/>
  <c r="U49"/>
  <c r="U50"/>
  <c r="U51"/>
  <c r="U52"/>
  <c r="U53"/>
  <c r="U54"/>
  <c r="U56"/>
  <c r="U57"/>
  <c r="U58"/>
  <c r="U60"/>
  <c r="U61"/>
  <c r="U62"/>
  <c r="U43"/>
  <c r="U44"/>
  <c r="U27"/>
  <c r="U28"/>
  <c r="U29"/>
  <c r="U30"/>
  <c r="U37"/>
  <c r="U40"/>
  <c r="U41"/>
  <c r="U42"/>
  <c r="U22"/>
  <c r="U23"/>
  <c r="U24"/>
  <c r="U25"/>
  <c r="U26"/>
  <c r="U12"/>
  <c r="U13"/>
  <c r="U14"/>
  <c r="U15"/>
  <c r="U17"/>
  <c r="U18"/>
  <c r="U19"/>
  <c r="U20"/>
  <c r="U6"/>
  <c r="V6" s="1"/>
  <c r="Q81" i="19"/>
  <c r="Q82"/>
  <c r="Q83"/>
  <c r="Q80"/>
  <c r="Q75"/>
  <c r="Q76"/>
  <c r="Q73"/>
  <c r="Q74"/>
  <c r="Q72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47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V25" s="1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6"/>
  <c r="Q83" i="15"/>
  <c r="Q73"/>
  <c r="Q74"/>
  <c r="Q75"/>
  <c r="Q76"/>
  <c r="Q77"/>
  <c r="Q78"/>
  <c r="Q79"/>
  <c r="Q80"/>
  <c r="Q81"/>
  <c r="Q82"/>
  <c r="Q72"/>
  <c r="Q66"/>
  <c r="Q67"/>
  <c r="Q68"/>
  <c r="Q69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47"/>
  <c r="Q40"/>
  <c r="Q41"/>
  <c r="Q42"/>
  <c r="Q43"/>
  <c r="Q44"/>
  <c r="Q27"/>
  <c r="Q28"/>
  <c r="Q29"/>
  <c r="Q30"/>
  <c r="Q31"/>
  <c r="Q32"/>
  <c r="Q33"/>
  <c r="Q34"/>
  <c r="Q35"/>
  <c r="Q36"/>
  <c r="Q37"/>
  <c r="Q38"/>
  <c r="Q39"/>
  <c r="Q26"/>
  <c r="Q7"/>
  <c r="Q8"/>
  <c r="Q9"/>
  <c r="Q10"/>
  <c r="Q11"/>
  <c r="Q12"/>
  <c r="Q14"/>
  <c r="Q15"/>
  <c r="Q16"/>
  <c r="Q17"/>
  <c r="Q18"/>
  <c r="Q19"/>
  <c r="Q20"/>
  <c r="Q21"/>
  <c r="Q22"/>
  <c r="Q23"/>
  <c r="Q24"/>
  <c r="Q25"/>
  <c r="Q6"/>
  <c r="S25"/>
  <c r="S24"/>
  <c r="S23"/>
  <c r="O29" i="21" l="1"/>
  <c r="N30"/>
  <c r="N23"/>
  <c r="N13"/>
  <c r="N18"/>
  <c r="M13"/>
  <c r="M18"/>
  <c r="O28"/>
  <c r="T39"/>
  <c r="M39" s="1"/>
  <c r="P13"/>
  <c r="P18"/>
  <c r="P23"/>
  <c r="O31"/>
  <c r="W39"/>
  <c r="M23"/>
  <c r="V23" i="15"/>
  <c r="T23" s="1"/>
  <c r="V83" i="19"/>
  <c r="V82"/>
  <c r="V81"/>
  <c r="V80"/>
  <c r="V79"/>
  <c r="V77"/>
  <c r="V76"/>
  <c r="V75"/>
  <c r="V74"/>
  <c r="V73"/>
  <c r="V71"/>
  <c r="V66"/>
  <c r="V56"/>
  <c r="V57"/>
  <c r="V58"/>
  <c r="V60"/>
  <c r="V61"/>
  <c r="V62"/>
  <c r="V63"/>
  <c r="V48"/>
  <c r="V49"/>
  <c r="V50"/>
  <c r="V51"/>
  <c r="V52"/>
  <c r="V53"/>
  <c r="V54"/>
  <c r="V44"/>
  <c r="V41"/>
  <c r="V42"/>
  <c r="V43"/>
  <c r="V40"/>
  <c r="V37"/>
  <c r="V27"/>
  <c r="V28"/>
  <c r="V29"/>
  <c r="V30"/>
  <c r="V26"/>
  <c r="V24"/>
  <c r="V14"/>
  <c r="X83"/>
  <c r="W83"/>
  <c r="T83"/>
  <c r="M83" s="1"/>
  <c r="O83"/>
  <c r="X82"/>
  <c r="W82"/>
  <c r="T82" s="1"/>
  <c r="M82" s="1"/>
  <c r="O82"/>
  <c r="X81"/>
  <c r="W81"/>
  <c r="T81"/>
  <c r="O81"/>
  <c r="M81"/>
  <c r="X80"/>
  <c r="W80"/>
  <c r="T80" s="1"/>
  <c r="M80" s="1"/>
  <c r="O80"/>
  <c r="X79"/>
  <c r="W79"/>
  <c r="T79"/>
  <c r="M79" s="1"/>
  <c r="O79"/>
  <c r="X77"/>
  <c r="W77"/>
  <c r="T77" s="1"/>
  <c r="M77" s="1"/>
  <c r="O77"/>
  <c r="X76"/>
  <c r="W76"/>
  <c r="T76"/>
  <c r="O76"/>
  <c r="M76"/>
  <c r="X75"/>
  <c r="W75"/>
  <c r="T75" s="1"/>
  <c r="M75" s="1"/>
  <c r="O75"/>
  <c r="X74"/>
  <c r="W74"/>
  <c r="T74"/>
  <c r="M74" s="1"/>
  <c r="O74"/>
  <c r="X73"/>
  <c r="W73"/>
  <c r="T73" s="1"/>
  <c r="M73" s="1"/>
  <c r="O73"/>
  <c r="O72"/>
  <c r="X71"/>
  <c r="W71"/>
  <c r="T71"/>
  <c r="M72" s="1"/>
  <c r="U69"/>
  <c r="X69" s="1"/>
  <c r="V69" s="1"/>
  <c r="X66"/>
  <c r="W66"/>
  <c r="T66" s="1"/>
  <c r="X63"/>
  <c r="W63"/>
  <c r="T63" s="1"/>
  <c r="X62"/>
  <c r="W62"/>
  <c r="T62" s="1"/>
  <c r="X61"/>
  <c r="W61"/>
  <c r="T61"/>
  <c r="X60"/>
  <c r="W60"/>
  <c r="T60" s="1"/>
  <c r="M60" s="1"/>
  <c r="X58"/>
  <c r="W58"/>
  <c r="T58"/>
  <c r="X57"/>
  <c r="W57"/>
  <c r="T57" s="1"/>
  <c r="X56"/>
  <c r="W56"/>
  <c r="T56"/>
  <c r="M56" s="1"/>
  <c r="U55"/>
  <c r="U59" s="1"/>
  <c r="T54"/>
  <c r="T53"/>
  <c r="T52"/>
  <c r="M52" s="1"/>
  <c r="T51"/>
  <c r="M51" s="1"/>
  <c r="X50"/>
  <c r="W50"/>
  <c r="T50" s="1"/>
  <c r="X49"/>
  <c r="W49"/>
  <c r="T49"/>
  <c r="X48"/>
  <c r="W48"/>
  <c r="T48" s="1"/>
  <c r="M48" s="1"/>
  <c r="U47"/>
  <c r="X47" s="1"/>
  <c r="V47" s="1"/>
  <c r="X44"/>
  <c r="W44"/>
  <c r="T44"/>
  <c r="X43"/>
  <c r="W43"/>
  <c r="T43" s="1"/>
  <c r="M43" s="1"/>
  <c r="X42"/>
  <c r="W42"/>
  <c r="T42" s="1"/>
  <c r="M42" s="1"/>
  <c r="X41"/>
  <c r="W41"/>
  <c r="T41" s="1"/>
  <c r="M41" s="1"/>
  <c r="X40"/>
  <c r="W40"/>
  <c r="T40" s="1"/>
  <c r="M40" s="1"/>
  <c r="U39"/>
  <c r="W39" s="1"/>
  <c r="T39" s="1"/>
  <c r="M39" s="1"/>
  <c r="U38"/>
  <c r="W38" s="1"/>
  <c r="T38" s="1"/>
  <c r="M38" s="1"/>
  <c r="X37"/>
  <c r="W37"/>
  <c r="T37" s="1"/>
  <c r="M37" s="1"/>
  <c r="U36"/>
  <c r="X36" s="1"/>
  <c r="V36" s="1"/>
  <c r="U35"/>
  <c r="W35" s="1"/>
  <c r="T35" s="1"/>
  <c r="M35" s="1"/>
  <c r="U34"/>
  <c r="X34" s="1"/>
  <c r="V34" s="1"/>
  <c r="U33"/>
  <c r="W33" s="1"/>
  <c r="T33" s="1"/>
  <c r="M33" s="1"/>
  <c r="U32"/>
  <c r="X32" s="1"/>
  <c r="V32" s="1"/>
  <c r="U31"/>
  <c r="W31" s="1"/>
  <c r="T31" s="1"/>
  <c r="M31" s="1"/>
  <c r="X30"/>
  <c r="W30"/>
  <c r="T30" s="1"/>
  <c r="X29"/>
  <c r="W29"/>
  <c r="T29"/>
  <c r="O29" s="1"/>
  <c r="X28"/>
  <c r="W28"/>
  <c r="T28" s="1"/>
  <c r="X27"/>
  <c r="W27"/>
  <c r="T27"/>
  <c r="O27" s="1"/>
  <c r="X26"/>
  <c r="W26"/>
  <c r="T26" s="1"/>
  <c r="X25"/>
  <c r="W25"/>
  <c r="T25" s="1"/>
  <c r="X24"/>
  <c r="W24"/>
  <c r="T24" s="1"/>
  <c r="X23"/>
  <c r="V23" s="1"/>
  <c r="W23"/>
  <c r="T23" s="1"/>
  <c r="X22"/>
  <c r="V22" s="1"/>
  <c r="W22"/>
  <c r="T22" s="1"/>
  <c r="W21"/>
  <c r="T21" s="1"/>
  <c r="X20"/>
  <c r="V20" s="1"/>
  <c r="W20"/>
  <c r="T20" s="1"/>
  <c r="X19"/>
  <c r="V19" s="1"/>
  <c r="W19"/>
  <c r="T19" s="1"/>
  <c r="X18"/>
  <c r="V18" s="1"/>
  <c r="W18"/>
  <c r="T18" s="1"/>
  <c r="X17"/>
  <c r="V17" s="1"/>
  <c r="W17"/>
  <c r="T17" s="1"/>
  <c r="W16"/>
  <c r="T16" s="1"/>
  <c r="X15"/>
  <c r="V15" s="1"/>
  <c r="W15"/>
  <c r="T15" s="1"/>
  <c r="S15"/>
  <c r="X14"/>
  <c r="W14"/>
  <c r="T14" s="1"/>
  <c r="S14"/>
  <c r="X13"/>
  <c r="V13" s="1"/>
  <c r="W13"/>
  <c r="T13" s="1"/>
  <c r="S13"/>
  <c r="X12"/>
  <c r="V12" s="1"/>
  <c r="W12"/>
  <c r="T12" s="1"/>
  <c r="M12" s="1"/>
  <c r="S12"/>
  <c r="W11"/>
  <c r="T11" s="1"/>
  <c r="W10"/>
  <c r="T10" s="1"/>
  <c r="S10"/>
  <c r="X9"/>
  <c r="V9" s="1"/>
  <c r="W9"/>
  <c r="T9" s="1"/>
  <c r="S9"/>
  <c r="X8"/>
  <c r="V8" s="1"/>
  <c r="W8"/>
  <c r="T8" s="1"/>
  <c r="S8"/>
  <c r="W7"/>
  <c r="T7" s="1"/>
  <c r="N7" s="1"/>
  <c r="X7"/>
  <c r="V7" s="1"/>
  <c r="S7"/>
  <c r="W6"/>
  <c r="T6" s="1"/>
  <c r="O6" s="1"/>
  <c r="X6"/>
  <c r="V6" s="1"/>
  <c r="W37" i="15"/>
  <c r="V37"/>
  <c r="T37" s="1"/>
  <c r="T83"/>
  <c r="T82"/>
  <c r="T81"/>
  <c r="T80"/>
  <c r="T79"/>
  <c r="T77"/>
  <c r="T76"/>
  <c r="T75"/>
  <c r="T51"/>
  <c r="T52"/>
  <c r="T53"/>
  <c r="T54"/>
  <c r="T6"/>
  <c r="X33" i="19" l="1"/>
  <c r="V33" s="1"/>
  <c r="W47"/>
  <c r="T47" s="1"/>
  <c r="M47" s="1"/>
  <c r="W32"/>
  <c r="T32" s="1"/>
  <c r="M32" s="1"/>
  <c r="W34"/>
  <c r="T34" s="1"/>
  <c r="M34" s="1"/>
  <c r="X38"/>
  <c r="V38" s="1"/>
  <c r="X39"/>
  <c r="V39" s="1"/>
  <c r="N29"/>
  <c r="N12"/>
  <c r="W69"/>
  <c r="T69" s="1"/>
  <c r="W36"/>
  <c r="T36" s="1"/>
  <c r="M36" s="1"/>
  <c r="M22"/>
  <c r="N22"/>
  <c r="O22"/>
  <c r="P22"/>
  <c r="M68"/>
  <c r="M67"/>
  <c r="M66"/>
  <c r="N28"/>
  <c r="O28"/>
  <c r="M11"/>
  <c r="N11"/>
  <c r="O11"/>
  <c r="P11"/>
  <c r="M17"/>
  <c r="N17"/>
  <c r="O17"/>
  <c r="P17"/>
  <c r="N30"/>
  <c r="O30"/>
  <c r="M16"/>
  <c r="N16"/>
  <c r="O16"/>
  <c r="P16"/>
  <c r="M21"/>
  <c r="N21"/>
  <c r="O21"/>
  <c r="P21"/>
  <c r="W59"/>
  <c r="T59" s="1"/>
  <c r="M59" s="1"/>
  <c r="X59"/>
  <c r="V59" s="1"/>
  <c r="M64"/>
  <c r="M63"/>
  <c r="M65"/>
  <c r="M7"/>
  <c r="N6"/>
  <c r="O7"/>
  <c r="X10"/>
  <c r="V10" s="1"/>
  <c r="X11"/>
  <c r="V11" s="1"/>
  <c r="P12"/>
  <c r="X16"/>
  <c r="V16" s="1"/>
  <c r="X21"/>
  <c r="V21" s="1"/>
  <c r="N27"/>
  <c r="X31"/>
  <c r="V31" s="1"/>
  <c r="X35"/>
  <c r="V35" s="1"/>
  <c r="X55"/>
  <c r="V55" s="1"/>
  <c r="M6"/>
  <c r="O12"/>
  <c r="W55"/>
  <c r="T55" s="1"/>
  <c r="M55" s="1"/>
  <c r="W83" i="15"/>
  <c r="V83"/>
  <c r="O83"/>
  <c r="M83"/>
  <c r="W82"/>
  <c r="V82"/>
  <c r="O82"/>
  <c r="M82"/>
  <c r="W81"/>
  <c r="V81"/>
  <c r="M81"/>
  <c r="O81"/>
  <c r="W80"/>
  <c r="V80"/>
  <c r="M80"/>
  <c r="O80"/>
  <c r="W79"/>
  <c r="V79"/>
  <c r="O79"/>
  <c r="M79"/>
  <c r="W77"/>
  <c r="V77"/>
  <c r="O77"/>
  <c r="M77"/>
  <c r="W76"/>
  <c r="V76"/>
  <c r="M76"/>
  <c r="O76"/>
  <c r="W75"/>
  <c r="V75"/>
  <c r="M75"/>
  <c r="O75"/>
  <c r="W74"/>
  <c r="V74"/>
  <c r="T74" s="1"/>
  <c r="M74" s="1"/>
  <c r="O74"/>
  <c r="W73"/>
  <c r="V73"/>
  <c r="T73" s="1"/>
  <c r="M73" s="1"/>
  <c r="O73"/>
  <c r="O72"/>
  <c r="W71"/>
  <c r="V71"/>
  <c r="T71" s="1"/>
  <c r="M72" s="1"/>
  <c r="U69"/>
  <c r="W69" s="1"/>
  <c r="W66"/>
  <c r="V66"/>
  <c r="T66" s="1"/>
  <c r="M67" s="1"/>
  <c r="W63"/>
  <c r="V63"/>
  <c r="T63" s="1"/>
  <c r="M64" s="1"/>
  <c r="W62"/>
  <c r="V62"/>
  <c r="T62" s="1"/>
  <c r="W61"/>
  <c r="V61"/>
  <c r="T61" s="1"/>
  <c r="W60"/>
  <c r="V60"/>
  <c r="T60" s="1"/>
  <c r="M60" s="1"/>
  <c r="W58"/>
  <c r="V58"/>
  <c r="T58" s="1"/>
  <c r="W57"/>
  <c r="V57"/>
  <c r="T57" s="1"/>
  <c r="W56"/>
  <c r="V56"/>
  <c r="T56" s="1"/>
  <c r="M56" s="1"/>
  <c r="M52"/>
  <c r="M51"/>
  <c r="W50"/>
  <c r="V50"/>
  <c r="T50" s="1"/>
  <c r="W49"/>
  <c r="V49"/>
  <c r="T49" s="1"/>
  <c r="W48"/>
  <c r="V48"/>
  <c r="T48" s="1"/>
  <c r="M48" s="1"/>
  <c r="W44"/>
  <c r="V44"/>
  <c r="T44" s="1"/>
  <c r="W43"/>
  <c r="V43"/>
  <c r="T43" s="1"/>
  <c r="M43" s="1"/>
  <c r="W42"/>
  <c r="V42"/>
  <c r="T42" s="1"/>
  <c r="M42" s="1"/>
  <c r="W41"/>
  <c r="V41"/>
  <c r="T41" s="1"/>
  <c r="M41" s="1"/>
  <c r="W40"/>
  <c r="V40"/>
  <c r="T40" s="1"/>
  <c r="M40" s="1"/>
  <c r="M37"/>
  <c r="W30"/>
  <c r="V30"/>
  <c r="T30" s="1"/>
  <c r="N30" s="1"/>
  <c r="W29"/>
  <c r="V29"/>
  <c r="T29" s="1"/>
  <c r="N29" s="1"/>
  <c r="W28"/>
  <c r="V28"/>
  <c r="T28" s="1"/>
  <c r="N28" s="1"/>
  <c r="W27"/>
  <c r="V27"/>
  <c r="T27" s="1"/>
  <c r="N27" s="1"/>
  <c r="W26"/>
  <c r="V26"/>
  <c r="T26" s="1"/>
  <c r="W25"/>
  <c r="V25"/>
  <c r="T25" s="1"/>
  <c r="W24"/>
  <c r="V24"/>
  <c r="T24" s="1"/>
  <c r="W23"/>
  <c r="W22"/>
  <c r="V22"/>
  <c r="T22" s="1"/>
  <c r="N22" s="1"/>
  <c r="W20"/>
  <c r="V20"/>
  <c r="T20" s="1"/>
  <c r="W19"/>
  <c r="V19"/>
  <c r="T19" s="1"/>
  <c r="W18"/>
  <c r="V18"/>
  <c r="T18" s="1"/>
  <c r="W17"/>
  <c r="V17"/>
  <c r="T17" s="1"/>
  <c r="O17" s="1"/>
  <c r="W15"/>
  <c r="V15"/>
  <c r="T15" s="1"/>
  <c r="S15"/>
  <c r="W14"/>
  <c r="V14"/>
  <c r="T14" s="1"/>
  <c r="S14"/>
  <c r="W13"/>
  <c r="V13"/>
  <c r="T13" s="1"/>
  <c r="S13"/>
  <c r="W12"/>
  <c r="V12"/>
  <c r="T12" s="1"/>
  <c r="M12" s="1"/>
  <c r="S12"/>
  <c r="S10"/>
  <c r="S9"/>
  <c r="S8"/>
  <c r="S7"/>
  <c r="W6"/>
  <c r="O6"/>
  <c r="N6"/>
  <c r="O28" l="1"/>
  <c r="V69"/>
  <c r="T69" s="1"/>
  <c r="M66"/>
  <c r="M68"/>
  <c r="M63"/>
  <c r="M65"/>
  <c r="O30"/>
  <c r="P22"/>
  <c r="M22"/>
  <c r="N12"/>
  <c r="P12"/>
  <c r="N17"/>
  <c r="P17"/>
  <c r="O22"/>
  <c r="O27"/>
  <c r="M17"/>
  <c r="M6"/>
  <c r="O12"/>
  <c r="O29"/>
  <c r="J21" i="5"/>
  <c r="J71" i="12"/>
  <c r="K71"/>
  <c r="H71"/>
  <c r="H70"/>
  <c r="J70"/>
  <c r="K70"/>
  <c r="A3" i="10"/>
  <c r="J11" i="7"/>
  <c r="G8" i="12"/>
  <c r="I8"/>
  <c r="J8" s="1"/>
  <c r="J11" i="11"/>
  <c r="H8" i="12" l="1"/>
  <c r="K8"/>
  <c r="K69"/>
  <c r="K68"/>
  <c r="K67"/>
  <c r="K65"/>
  <c r="K64"/>
  <c r="K63"/>
  <c r="K62"/>
  <c r="K61"/>
  <c r="K59"/>
  <c r="J59"/>
  <c r="K56"/>
  <c r="K55"/>
  <c r="K54"/>
  <c r="K52"/>
  <c r="K51"/>
  <c r="K50"/>
  <c r="K48"/>
  <c r="K47"/>
  <c r="K46"/>
  <c r="K39"/>
  <c r="K40"/>
  <c r="K41"/>
  <c r="K42"/>
  <c r="K43"/>
  <c r="K17"/>
  <c r="K18"/>
  <c r="K19"/>
  <c r="K20"/>
  <c r="K22"/>
  <c r="K23"/>
  <c r="K24"/>
  <c r="K25"/>
  <c r="K26"/>
  <c r="K27"/>
  <c r="K28"/>
  <c r="K29"/>
  <c r="K30"/>
  <c r="K12"/>
  <c r="K13"/>
  <c r="K14"/>
  <c r="K15"/>
  <c r="J43"/>
  <c r="J69"/>
  <c r="J68"/>
  <c r="J67"/>
  <c r="J65"/>
  <c r="J64"/>
  <c r="J63"/>
  <c r="J62"/>
  <c r="J61"/>
  <c r="J47"/>
  <c r="J48"/>
  <c r="J50"/>
  <c r="J51"/>
  <c r="J52"/>
  <c r="J54"/>
  <c r="J55"/>
  <c r="J56"/>
  <c r="J46"/>
  <c r="J12"/>
  <c r="J13"/>
  <c r="J14"/>
  <c r="J15"/>
  <c r="J17"/>
  <c r="J18"/>
  <c r="J19"/>
  <c r="J20"/>
  <c r="J22"/>
  <c r="J23"/>
  <c r="J24"/>
  <c r="J25"/>
  <c r="J26"/>
  <c r="J27"/>
  <c r="J28"/>
  <c r="J29"/>
  <c r="J30"/>
  <c r="J39"/>
  <c r="J40"/>
  <c r="J41"/>
  <c r="J42"/>
  <c r="H69"/>
  <c r="H68"/>
  <c r="H67"/>
  <c r="H65"/>
  <c r="H64"/>
  <c r="H63"/>
  <c r="H62"/>
  <c r="H61"/>
  <c r="H59"/>
  <c r="I57"/>
  <c r="K57" s="1"/>
  <c r="H56"/>
  <c r="H55"/>
  <c r="H54"/>
  <c r="H52"/>
  <c r="H51"/>
  <c r="H50"/>
  <c r="I49"/>
  <c r="H49" s="1"/>
  <c r="H48"/>
  <c r="H47"/>
  <c r="H46"/>
  <c r="I45"/>
  <c r="H45" s="1"/>
  <c r="H43"/>
  <c r="H42"/>
  <c r="H41"/>
  <c r="H40"/>
  <c r="H39"/>
  <c r="I38"/>
  <c r="H38" s="1"/>
  <c r="I37"/>
  <c r="H37" s="1"/>
  <c r="I36"/>
  <c r="H36" s="1"/>
  <c r="I35"/>
  <c r="H35" s="1"/>
  <c r="I34"/>
  <c r="H34" s="1"/>
  <c r="I33"/>
  <c r="H33" s="1"/>
  <c r="I32"/>
  <c r="H32" s="1"/>
  <c r="I31"/>
  <c r="H31" s="1"/>
  <c r="H30"/>
  <c r="H29"/>
  <c r="H28"/>
  <c r="H27"/>
  <c r="H26"/>
  <c r="H25"/>
  <c r="H24"/>
  <c r="H23"/>
  <c r="H22"/>
  <c r="I21"/>
  <c r="J21" s="1"/>
  <c r="H20"/>
  <c r="H19"/>
  <c r="H18"/>
  <c r="H17"/>
  <c r="I16"/>
  <c r="J16" s="1"/>
  <c r="H15"/>
  <c r="G15"/>
  <c r="H14"/>
  <c r="G14"/>
  <c r="H13"/>
  <c r="G13"/>
  <c r="H12"/>
  <c r="G12"/>
  <c r="I11"/>
  <c r="K11" s="1"/>
  <c r="I10"/>
  <c r="K10" s="1"/>
  <c r="G10"/>
  <c r="I9"/>
  <c r="H9" s="1"/>
  <c r="G9"/>
  <c r="I7"/>
  <c r="H7" s="1"/>
  <c r="G7"/>
  <c r="I6"/>
  <c r="K6" s="1"/>
  <c r="J38" l="1"/>
  <c r="J34"/>
  <c r="J10"/>
  <c r="J45"/>
  <c r="J57"/>
  <c r="K7"/>
  <c r="K9"/>
  <c r="K32"/>
  <c r="K16"/>
  <c r="K36"/>
  <c r="J6"/>
  <c r="J35"/>
  <c r="J31"/>
  <c r="J11"/>
  <c r="J7"/>
  <c r="K33"/>
  <c r="K21"/>
  <c r="K37"/>
  <c r="J36"/>
  <c r="J32"/>
  <c r="K34"/>
  <c r="K38"/>
  <c r="J37"/>
  <c r="J33"/>
  <c r="J9"/>
  <c r="J49"/>
  <c r="K35"/>
  <c r="K31"/>
  <c r="K45"/>
  <c r="K49"/>
  <c r="H57"/>
  <c r="I53"/>
  <c r="H6"/>
  <c r="H11"/>
  <c r="H16"/>
  <c r="H10"/>
  <c r="H21"/>
  <c r="K53" l="1"/>
  <c r="J53"/>
  <c r="H53"/>
  <c r="E29" i="10"/>
  <c r="E24"/>
  <c r="E21"/>
  <c r="K21" s="1"/>
  <c r="N32"/>
  <c r="J22"/>
  <c r="L22"/>
  <c r="K22"/>
  <c r="G21"/>
  <c r="L21"/>
  <c r="F29"/>
  <c r="J24" i="5"/>
  <c r="J10" i="8"/>
  <c r="J21" i="10" l="1"/>
  <c r="A4" i="7"/>
  <c r="B7" i="8" s="1"/>
  <c r="D7" i="5"/>
  <c r="N11" i="11"/>
  <c r="M17"/>
  <c r="J40" i="8"/>
  <c r="J42"/>
  <c r="J43"/>
  <c r="J44"/>
  <c r="J46"/>
  <c r="J47"/>
  <c r="J48"/>
  <c r="J49"/>
  <c r="J50"/>
  <c r="J51"/>
  <c r="J23"/>
  <c r="J19"/>
  <c r="J15"/>
  <c r="J11"/>
  <c r="J27" i="5"/>
  <c r="J27" i="10"/>
  <c r="K27"/>
  <c r="L27"/>
  <c r="J36" i="8" l="1"/>
  <c r="J33"/>
  <c r="J30"/>
  <c r="J27"/>
  <c r="J22"/>
  <c r="J18"/>
  <c r="J14"/>
  <c r="J30" i="5"/>
  <c r="J26"/>
  <c r="D33"/>
  <c r="M7" i="11" l="1"/>
  <c r="L8" i="5"/>
  <c r="J7"/>
  <c r="J7" i="7"/>
  <c r="F8" i="11"/>
  <c r="J41" i="8"/>
  <c r="J38"/>
  <c r="J37"/>
  <c r="J35"/>
  <c r="J34"/>
  <c r="J32"/>
  <c r="J31"/>
  <c r="J29"/>
  <c r="J28"/>
  <c r="J25"/>
  <c r="J24"/>
  <c r="J21"/>
  <c r="J20"/>
  <c r="J17"/>
  <c r="J16"/>
  <c r="J13"/>
  <c r="J12"/>
  <c r="I28" i="7"/>
  <c r="I27"/>
  <c r="K26"/>
  <c r="I26"/>
  <c r="I25"/>
  <c r="I24"/>
  <c r="I23"/>
  <c r="J9"/>
  <c r="J8"/>
  <c r="D28" i="5"/>
  <c r="D26"/>
  <c r="D23"/>
  <c r="D19"/>
  <c r="D18"/>
  <c r="D17"/>
  <c r="D15"/>
  <c r="N15" s="1"/>
  <c r="D12"/>
  <c r="D11"/>
  <c r="L9"/>
  <c r="K9"/>
  <c r="J9"/>
  <c r="K8"/>
  <c r="J8"/>
  <c r="D9" l="1"/>
  <c r="D8"/>
  <c r="M18" i="11" l="1"/>
  <c r="A22"/>
  <c r="M16"/>
  <c r="G16"/>
  <c r="F16"/>
  <c r="H7" i="10"/>
  <c r="G7"/>
  <c r="J7" s="1"/>
  <c r="H6"/>
  <c r="M9"/>
  <c r="K9"/>
  <c r="I9"/>
  <c r="H9"/>
  <c r="G9"/>
  <c r="J9" s="1"/>
  <c r="F9"/>
  <c r="D9"/>
  <c r="M8"/>
  <c r="K8"/>
  <c r="I8"/>
  <c r="H8"/>
  <c r="G8"/>
  <c r="J8" s="1"/>
  <c r="D8"/>
  <c r="B7" i="9"/>
  <c r="A1" i="11"/>
  <c r="A2"/>
  <c r="A3"/>
  <c r="A4"/>
  <c r="G4"/>
  <c r="H4"/>
  <c r="M4"/>
  <c r="A5"/>
  <c r="A6"/>
  <c r="D6"/>
  <c r="F6"/>
  <c r="G6"/>
  <c r="M6"/>
  <c r="J7"/>
  <c r="G8"/>
  <c r="M8"/>
  <c r="J9"/>
  <c r="D12"/>
  <c r="D13"/>
  <c r="D14"/>
  <c r="A15"/>
  <c r="A16"/>
  <c r="D22"/>
  <c r="F22"/>
  <c r="G22"/>
  <c r="M22"/>
  <c r="A23"/>
  <c r="F23"/>
  <c r="G23"/>
  <c r="M23"/>
  <c r="M24"/>
  <c r="I24" s="1"/>
  <c r="A25"/>
  <c r="F25"/>
  <c r="G25"/>
  <c r="I26" s="1"/>
  <c r="M25"/>
  <c r="M26"/>
  <c r="F27"/>
  <c r="G27"/>
  <c r="I28" s="1"/>
  <c r="M27"/>
  <c r="M28"/>
  <c r="A29"/>
  <c r="D29"/>
  <c r="F29"/>
  <c r="G29"/>
  <c r="H29"/>
  <c r="M29"/>
  <c r="A1" i="10"/>
  <c r="A2"/>
  <c r="G3"/>
  <c r="H3"/>
  <c r="I3"/>
  <c r="J3"/>
  <c r="L3"/>
  <c r="M3"/>
  <c r="N3"/>
  <c r="A4"/>
  <c r="D5"/>
  <c r="E5"/>
  <c r="F5"/>
  <c r="G5"/>
  <c r="J5"/>
  <c r="M5"/>
  <c r="N5"/>
  <c r="A6"/>
  <c r="G6"/>
  <c r="I6"/>
  <c r="J6"/>
  <c r="K6"/>
  <c r="L6"/>
  <c r="M6"/>
  <c r="N6"/>
  <c r="B10"/>
  <c r="M10"/>
  <c r="F11"/>
  <c r="G11"/>
  <c r="H11"/>
  <c r="I11"/>
  <c r="M11"/>
  <c r="D12"/>
  <c r="H12"/>
  <c r="M12"/>
  <c r="D14"/>
  <c r="F14"/>
  <c r="G14"/>
  <c r="H14"/>
  <c r="I14"/>
  <c r="M14"/>
  <c r="D15"/>
  <c r="K14"/>
  <c r="K15"/>
  <c r="M15"/>
  <c r="N15"/>
  <c r="D16"/>
  <c r="H16"/>
  <c r="D17"/>
  <c r="H17"/>
  <c r="K17"/>
  <c r="M17"/>
  <c r="D18"/>
  <c r="K18"/>
  <c r="M18"/>
  <c r="D19"/>
  <c r="K19"/>
  <c r="M19"/>
  <c r="A20"/>
  <c r="G20"/>
  <c r="D22"/>
  <c r="F21"/>
  <c r="D25"/>
  <c r="F24"/>
  <c r="G24"/>
  <c r="D31"/>
  <c r="E32"/>
  <c r="A34"/>
  <c r="G34"/>
  <c r="D35"/>
  <c r="J35"/>
  <c r="F35"/>
  <c r="G35"/>
  <c r="D36"/>
  <c r="E36" s="1"/>
  <c r="F36"/>
  <c r="G36"/>
  <c r="H36"/>
  <c r="I36"/>
  <c r="J36"/>
  <c r="K36"/>
  <c r="L36"/>
  <c r="M36"/>
  <c r="N36"/>
  <c r="D37"/>
  <c r="E37"/>
  <c r="F37"/>
  <c r="G37"/>
  <c r="H37"/>
  <c r="I37"/>
  <c r="J37"/>
  <c r="K37"/>
  <c r="L37"/>
  <c r="M37"/>
  <c r="N37"/>
  <c r="D43"/>
  <c r="E43"/>
  <c r="D7" i="11"/>
  <c r="D8"/>
  <c r="D9"/>
  <c r="D11"/>
  <c r="D23"/>
  <c r="D24"/>
  <c r="D25"/>
  <c r="D26"/>
  <c r="D27"/>
  <c r="D28"/>
  <c r="D11" i="10"/>
  <c r="J11" i="5"/>
  <c r="K11"/>
  <c r="L11"/>
  <c r="K14"/>
  <c r="K15"/>
  <c r="K17"/>
  <c r="K18"/>
  <c r="K19"/>
  <c r="J23"/>
  <c r="J28"/>
  <c r="J37"/>
  <c r="I23" i="11"/>
  <c r="L8" i="10" l="1"/>
  <c r="J8" i="11"/>
  <c r="L9" i="10"/>
  <c r="I27" i="11"/>
  <c r="I25"/>
  <c r="K26"/>
  <c r="L11" i="10"/>
  <c r="J11"/>
  <c r="K11"/>
  <c r="U40" i="21" l="1"/>
  <c r="U37"/>
  <c r="U35"/>
  <c r="U34"/>
  <c r="U33"/>
  <c r="U32"/>
  <c r="U22"/>
  <c r="U17"/>
  <c r="U12"/>
  <c r="U11"/>
  <c r="U8"/>
  <c r="U7"/>
  <c r="V17" l="1"/>
  <c r="T17"/>
  <c r="W17"/>
  <c r="V37"/>
  <c r="W37"/>
  <c r="T37"/>
  <c r="M37" s="1"/>
  <c r="U10"/>
  <c r="V12"/>
  <c r="T12"/>
  <c r="W12"/>
  <c r="V32"/>
  <c r="W32"/>
  <c r="T32"/>
  <c r="M32" s="1"/>
  <c r="W35"/>
  <c r="T35"/>
  <c r="M35" s="1"/>
  <c r="V35"/>
  <c r="U56"/>
  <c r="V34"/>
  <c r="T34"/>
  <c r="M34" s="1"/>
  <c r="W34"/>
  <c r="V40"/>
  <c r="T40"/>
  <c r="M40" s="1"/>
  <c r="W40"/>
  <c r="V8"/>
  <c r="T8"/>
  <c r="W8"/>
  <c r="T33"/>
  <c r="M33" s="1"/>
  <c r="W33"/>
  <c r="V33"/>
  <c r="V7"/>
  <c r="T7"/>
  <c r="W7"/>
  <c r="U9"/>
  <c r="V11"/>
  <c r="T11"/>
  <c r="W11"/>
  <c r="V22"/>
  <c r="W22"/>
  <c r="T22"/>
  <c r="U48"/>
  <c r="U70"/>
  <c r="V70" l="1"/>
  <c r="W70"/>
  <c r="T70"/>
  <c r="O22"/>
  <c r="M22"/>
  <c r="P22"/>
  <c r="N22"/>
  <c r="O12"/>
  <c r="P12"/>
  <c r="N12"/>
  <c r="M12"/>
  <c r="O17"/>
  <c r="M17"/>
  <c r="P17"/>
  <c r="N17"/>
  <c r="N8"/>
  <c r="O8"/>
  <c r="M8"/>
  <c r="V56"/>
  <c r="T56"/>
  <c r="M56" s="1"/>
  <c r="W56"/>
  <c r="M7"/>
  <c r="O7"/>
  <c r="N7"/>
  <c r="U60"/>
  <c r="V48"/>
  <c r="T48"/>
  <c r="M48" s="1"/>
  <c r="W48"/>
  <c r="T9"/>
  <c r="V9"/>
  <c r="W9"/>
  <c r="W10"/>
  <c r="V10"/>
  <c r="T10"/>
  <c r="U47" i="15" l="1"/>
  <c r="V60" i="21"/>
  <c r="T60"/>
  <c r="M60" s="1"/>
  <c r="W60"/>
  <c r="U9" i="15" l="1"/>
  <c r="U33"/>
  <c r="W47"/>
  <c r="V47"/>
  <c r="T47" s="1"/>
  <c r="M47" s="1"/>
  <c r="U8"/>
  <c r="U32"/>
  <c r="U36"/>
  <c r="U7"/>
  <c r="U11"/>
  <c r="U31"/>
  <c r="U36" i="21"/>
  <c r="U55" i="15"/>
  <c r="U21"/>
  <c r="U38"/>
  <c r="U16"/>
  <c r="U10"/>
  <c r="U34"/>
  <c r="U39"/>
  <c r="V38" l="1"/>
  <c r="T38" s="1"/>
  <c r="M38" s="1"/>
  <c r="W38"/>
  <c r="V21"/>
  <c r="T21" s="1"/>
  <c r="W21"/>
  <c r="W55"/>
  <c r="V55"/>
  <c r="T55" s="1"/>
  <c r="M55" s="1"/>
  <c r="V9"/>
  <c r="T9" s="1"/>
  <c r="W9"/>
  <c r="U59"/>
  <c r="V10"/>
  <c r="T10" s="1"/>
  <c r="W10"/>
  <c r="V31"/>
  <c r="T31" s="1"/>
  <c r="M31" s="1"/>
  <c r="W31"/>
  <c r="V34"/>
  <c r="T34" s="1"/>
  <c r="M34" s="1"/>
  <c r="W34"/>
  <c r="V36" i="21"/>
  <c r="W36"/>
  <c r="T36"/>
  <c r="M36" s="1"/>
  <c r="V11" i="15"/>
  <c r="T11" s="1"/>
  <c r="W11"/>
  <c r="V7"/>
  <c r="T7" s="1"/>
  <c r="W7"/>
  <c r="W36"/>
  <c r="V36"/>
  <c r="T36" s="1"/>
  <c r="M36" s="1"/>
  <c r="W8"/>
  <c r="V8"/>
  <c r="T8" s="1"/>
  <c r="W33"/>
  <c r="V33"/>
  <c r="T33" s="1"/>
  <c r="M33" s="1"/>
  <c r="V16"/>
  <c r="T16" s="1"/>
  <c r="W16"/>
  <c r="W39"/>
  <c r="V39"/>
  <c r="T39" s="1"/>
  <c r="M39" s="1"/>
  <c r="U35"/>
  <c r="W32"/>
  <c r="V32"/>
  <c r="T32" s="1"/>
  <c r="M32" s="1"/>
  <c r="V35" l="1"/>
  <c r="T35" s="1"/>
  <c r="M35" s="1"/>
  <c r="W35"/>
  <c r="N7"/>
  <c r="M7"/>
  <c r="O7"/>
  <c r="O21"/>
  <c r="P21"/>
  <c r="N21"/>
  <c r="M21"/>
  <c r="M11"/>
  <c r="P11"/>
  <c r="O11"/>
  <c r="N11"/>
  <c r="W59"/>
  <c r="V59"/>
  <c r="T59" s="1"/>
  <c r="M59" s="1"/>
  <c r="P16"/>
  <c r="M16"/>
  <c r="N16"/>
  <c r="O16"/>
</calcChain>
</file>

<file path=xl/sharedStrings.xml><?xml version="1.0" encoding="utf-8"?>
<sst xmlns="http://schemas.openxmlformats.org/spreadsheetml/2006/main" count="1534" uniqueCount="444">
  <si>
    <t>№</t>
  </si>
  <si>
    <t>280 / 180</t>
  </si>
  <si>
    <t>Биозащита</t>
  </si>
  <si>
    <t>Фасовка</t>
  </si>
  <si>
    <t>100 - 230</t>
  </si>
  <si>
    <t>150 - 350</t>
  </si>
  <si>
    <t>5 лет</t>
  </si>
  <si>
    <t xml:space="preserve"> -</t>
  </si>
  <si>
    <t>Не подлежит обязательной сертификации</t>
  </si>
  <si>
    <t>Антисептики и дезинфекторы</t>
  </si>
  <si>
    <t>Лакокрасочная продукция с антисептическим эффектом</t>
  </si>
  <si>
    <t>Площадь покрытия в один слой содержимым одной банки, кв.м.</t>
  </si>
  <si>
    <t>нанесение по мере необходимости</t>
  </si>
  <si>
    <t>25-33</t>
  </si>
  <si>
    <t>91-122</t>
  </si>
  <si>
    <t>-</t>
  </si>
  <si>
    <t xml:space="preserve">Схема оптовых скидок на всю представленную продукцию (в тыс.руб.):  </t>
  </si>
  <si>
    <t>Условия оплаты – 100% предоплата.</t>
  </si>
  <si>
    <r>
      <t>Расход, г/м</t>
    </r>
    <r>
      <rPr>
        <b/>
        <vertAlign val="superscript"/>
        <sz val="18"/>
        <rFont val="Arial Cyr"/>
        <charset val="204"/>
      </rPr>
      <t>2</t>
    </r>
    <r>
      <rPr>
        <b/>
        <sz val="18"/>
        <rFont val="Arial Cyr"/>
        <charset val="204"/>
      </rPr>
      <t xml:space="preserve">. </t>
    </r>
  </si>
  <si>
    <r>
      <t>Стоимость состава для обработки
1м</t>
    </r>
    <r>
      <rPr>
        <b/>
        <vertAlign val="superscript"/>
        <sz val="18"/>
        <rFont val="Arial Cyr"/>
        <charset val="204"/>
      </rPr>
      <t>2</t>
    </r>
    <r>
      <rPr>
        <b/>
        <sz val="18"/>
        <rFont val="Arial Cyr"/>
        <charset val="204"/>
      </rPr>
      <t>, с учетом НДС, руб.</t>
    </r>
  </si>
  <si>
    <r>
      <t>2,5 - 4,5 кг/м</t>
    </r>
    <r>
      <rPr>
        <vertAlign val="superscript"/>
        <sz val="20"/>
        <rFont val="Arial Cyr"/>
        <charset val="204"/>
      </rPr>
      <t>2</t>
    </r>
  </si>
  <si>
    <t>Фасовка (ПЭТ ведра), кг</t>
  </si>
  <si>
    <t>6 лет (10 в отапливаемом помещении)</t>
  </si>
  <si>
    <t>Огнебиозащитные средства промышленного назначения</t>
  </si>
  <si>
    <t>Наименование
продукции</t>
  </si>
  <si>
    <t>Огнебиозащитные составы</t>
  </si>
  <si>
    <t>Срок службы покрытия, внутренние / наружные</t>
  </si>
  <si>
    <t>Огнебиозащитные пропитки для древесины</t>
  </si>
  <si>
    <t>Огнебиозащитные пропитки для тканей и ковровых покрытий</t>
  </si>
  <si>
    <t>Термоуплотнительная лента</t>
  </si>
  <si>
    <t>10 лет</t>
  </si>
  <si>
    <t>Цена расфасованной продукции (руб.), в т.ч. тара и НДС 18%</t>
  </si>
  <si>
    <t>Антисептики и ЛКМ промышленного назначения</t>
  </si>
  <si>
    <t>10 / 5 лет</t>
  </si>
  <si>
    <t>Отбеливатель</t>
  </si>
  <si>
    <t>Срок службы покрытия</t>
  </si>
  <si>
    <r>
      <t>Расход г/м</t>
    </r>
    <r>
      <rPr>
        <b/>
        <vertAlign val="superscript"/>
        <sz val="18"/>
        <rFont val="Arial Cyr"/>
        <charset val="204"/>
      </rPr>
      <t>2</t>
    </r>
  </si>
  <si>
    <r>
      <t>Стоим-ть состава для окраски 
1 м</t>
    </r>
    <r>
      <rPr>
        <vertAlign val="superscript"/>
        <sz val="18"/>
        <rFont val="Arial"/>
        <family val="2"/>
        <charset val="204"/>
      </rPr>
      <t>2</t>
    </r>
    <r>
      <rPr>
        <sz val="18"/>
        <rFont val="Arial"/>
        <family val="2"/>
        <charset val="204"/>
      </rPr>
      <t>, руб.</t>
    </r>
  </si>
  <si>
    <t>Ширина 20 мм, толщина 2,0 мм.</t>
  </si>
  <si>
    <t>18 / 8 лет</t>
  </si>
  <si>
    <t>Прайс-лист оптовый</t>
  </si>
  <si>
    <t>Биозащита: 20 / 7,5 лет
Огнезащита: 16 / 5 лет</t>
  </si>
  <si>
    <t>Биозащита: 25 / 10 лет
Огнезащита: 16 / 5 лет</t>
  </si>
  <si>
    <t>Условия оплаты – 100% предоплата</t>
  </si>
  <si>
    <t>ПЭТ бочка 50 кг</t>
  </si>
  <si>
    <t>ПЭТ бочка 65 кг</t>
  </si>
  <si>
    <t>Рулон 6,6 м</t>
  </si>
  <si>
    <t>Цена за 1 кг без НДС, руб.</t>
  </si>
  <si>
    <t>Цена за 1 кг с НДС 18%, руб.</t>
  </si>
  <si>
    <t>Концентрат</t>
  </si>
  <si>
    <t xml:space="preserve"> </t>
  </si>
  <si>
    <t>Цена
 за 1 кг без НДС, руб.</t>
  </si>
  <si>
    <t>Цена
 за 1 кг с НДС 18%, руб.</t>
  </si>
  <si>
    <t xml:space="preserve">Схема оптовых скидок на всю представленную продукцию (в тыс.руб.): </t>
  </si>
  <si>
    <t>Готовый</t>
  </si>
  <si>
    <t>Наименование продукции</t>
  </si>
  <si>
    <t xml:space="preserve">Расфасовка                                                                    </t>
  </si>
  <si>
    <t xml:space="preserve">Цена расфасованной продукции (руб.),                                в т.ч. тара, без НДС </t>
  </si>
  <si>
    <t xml:space="preserve">Цена расфасованной продукции (руб.),                                в т.ч. тара, НДС 18% </t>
  </si>
  <si>
    <t>ПЭТ бутылка</t>
  </si>
  <si>
    <t>Лаки, краски, грунтовки</t>
  </si>
  <si>
    <t>ПЭТ ведро</t>
  </si>
  <si>
    <t>Схема оптовых скидок на всю представленную продукцию (в тыс. руб.):</t>
  </si>
  <si>
    <t>Условия оплаты - 100% предоплата.</t>
  </si>
  <si>
    <t xml:space="preserve">Коэффициент </t>
  </si>
  <si>
    <t>Коэффициент</t>
  </si>
  <si>
    <t>Прайс-лист розничный</t>
  </si>
  <si>
    <t>ПЭТ мешок 25 кг</t>
  </si>
  <si>
    <t>Прайс-лист розница</t>
  </si>
  <si>
    <t xml:space="preserve">                                                                 ООО "Торговый дом "НОРТ"</t>
  </si>
  <si>
    <t>Огнезащитный состав для кровли</t>
  </si>
  <si>
    <t>Г2, В1, РП1, НПБ 244-97</t>
  </si>
  <si>
    <t>ПЭТ бочка 40 кг</t>
  </si>
  <si>
    <r>
      <t>1,7 кг/м</t>
    </r>
    <r>
      <rPr>
        <vertAlign val="superscript"/>
        <sz val="20"/>
        <rFont val="Arial Cyr"/>
        <charset val="204"/>
      </rPr>
      <t>2</t>
    </r>
  </si>
  <si>
    <t>300 / 200</t>
  </si>
  <si>
    <t>103 / 69 Развести      1 л конц. / 3,0 л воды</t>
  </si>
  <si>
    <r>
      <t>Огнезащита:</t>
    </r>
    <r>
      <rPr>
        <sz val="20"/>
        <rFont val="Arial Cyr"/>
        <charset val="204"/>
      </rPr>
      <t xml:space="preserve">
11 лет;
Скрытые полости:
30 лет</t>
    </r>
  </si>
  <si>
    <t>Огнезащита: 12 лет</t>
  </si>
  <si>
    <t>Ссылки на таблицы ГЭСН, ТЭСН</t>
  </si>
  <si>
    <t>2 - ОЗОН-007 Таблица ГЭСН 26-02-019, ТЭСН 26-02-022</t>
  </si>
  <si>
    <t>100 / 50</t>
  </si>
  <si>
    <t xml:space="preserve">От 50 до 100 </t>
  </si>
  <si>
    <t>От 100 до 200</t>
  </si>
  <si>
    <t>От 200</t>
  </si>
  <si>
    <t xml:space="preserve">От 100 до 200 </t>
  </si>
  <si>
    <t xml:space="preserve">От 200 </t>
  </si>
  <si>
    <t>от 50 до 100</t>
  </si>
  <si>
    <t>от 100 до 200</t>
  </si>
  <si>
    <t>от 200</t>
  </si>
  <si>
    <r>
      <t>НОРТОВСКАЯ</t>
    </r>
    <r>
      <rPr>
        <b/>
        <vertAlign val="superscript"/>
        <sz val="10"/>
        <rFont val="Arial Cyr"/>
        <charset val="204"/>
      </rPr>
      <t xml:space="preserve">® </t>
    </r>
    <r>
      <rPr>
        <b/>
        <sz val="10"/>
        <rFont val="Arial Cyr"/>
        <charset val="204"/>
      </rPr>
      <t>ГРУНТОВКА-АНТИСЕПТИК</t>
    </r>
    <r>
      <rPr>
        <sz val="10"/>
        <rFont val="Arial Cyr"/>
        <charset val="204"/>
      </rPr>
      <t xml:space="preserve">
Универсальная акриловая грунтовка для деревянных, каменных, бетонных, кирпичных, отштукатуренных поверхностей, гипсокартона. Обладает антисептическими свойствами. Для наружных и внутренних работ.</t>
    </r>
  </si>
  <si>
    <t xml:space="preserve">                                                                 тел./факс: (3412) 941-941  e-mail: inform@nort-udm.ru; http://www.nort-udm.ru</t>
  </si>
  <si>
    <t xml:space="preserve">                                                                 тел./факс: (3412) 941-941   e-mail: inform@nort-udm.ru; http://www.nort-udm.ru</t>
  </si>
  <si>
    <t>1 - серия "Пирилакс" Таблица ГЭСН 26-02-018, ГЭСН 10-01-091, ТЭСН 26-02-021, ТЭСН 10-01-091</t>
  </si>
  <si>
    <t xml:space="preserve">                                                                    ООО "Торговый дом "НОРТ
                                                                    426077, Российская Федерация, Удмуртская Республика, г. Ижевск, а/я 2921
                                                                    тел./факс: (3412) 941-941  e-mail: inform@nort-udm.ru; http://www.nort-udm.ru</t>
  </si>
  <si>
    <t xml:space="preserve">                                                                                               ООО "Торговый дом "НОРТ
                                                                                               426077, Российская Федерация, Удмуртская Республика, г. Ижевск, а/я 2921
                                                                                               тел./факс: (3412) 941-941   e-mail: inform@nort-udm.ru; http://www.nort-udm.ru</t>
  </si>
  <si>
    <t xml:space="preserve">                                                                 426077, Российская Федерация, Удмуртская Республика, г. Ижевск, а/я 2921</t>
  </si>
  <si>
    <t xml:space="preserve">                                                                    ООО "Торговый дом "НОРТ
                                                                    426077, Российская Федерация, Удмуртская Республика, г. Ижевск, а/я 2921
                                                                    тел./факс: (3412) 941-941   e-mail: inform@nort-udm.ru; http://www.nort-udm.ru</t>
  </si>
  <si>
    <r>
      <t>НОРТЕКС</t>
    </r>
    <r>
      <rPr>
        <b/>
        <vertAlign val="superscript"/>
        <sz val="10"/>
        <rFont val="Arial Cyr"/>
        <charset val="204"/>
      </rPr>
      <t>®</t>
    </r>
    <r>
      <rPr>
        <b/>
        <sz val="10"/>
        <rFont val="Arial Cyr"/>
        <family val="2"/>
        <charset val="204"/>
      </rPr>
      <t>-ДОКТОР для древесины</t>
    </r>
    <r>
      <rPr>
        <sz val="10"/>
        <rFont val="Arial Cyr"/>
        <family val="2"/>
        <charset val="204"/>
      </rPr>
      <t xml:space="preserve">
Антисептическая пропитка для защиты здоровой и лечения пораженной древесины от плесени, жука-древоточца. Не тонирует древесину. Для наружных и внутренних работ.</t>
    </r>
  </si>
  <si>
    <t>ПЭТ бочка 48 кг</t>
  </si>
  <si>
    <t>ПЭТ бочка 43 кг</t>
  </si>
  <si>
    <t>I / II группа
ГОСТ Р 53292</t>
  </si>
  <si>
    <t>Соответствует требованиям ФЗ-123, ГОСТ Р 50810-95, ГОСТ Р 53294-2009</t>
  </si>
  <si>
    <t>Внутри: 2,43/ Снаружи: 7,78</t>
  </si>
  <si>
    <t>Внутри: 2,68/ Снаружи: 8,57</t>
  </si>
  <si>
    <t>ПЭТ бочка 46 кг</t>
  </si>
  <si>
    <t>7/5лет</t>
  </si>
  <si>
    <t>Цена
 за 1 л без НДС, руб.</t>
  </si>
  <si>
    <t>Цена
 за 1 л с НДС 18%, руб.</t>
  </si>
  <si>
    <r>
      <t>Расход мл/м</t>
    </r>
    <r>
      <rPr>
        <b/>
        <vertAlign val="superscript"/>
        <sz val="18"/>
        <rFont val="Arial Cyr"/>
        <charset val="204"/>
      </rPr>
      <t>2</t>
    </r>
  </si>
  <si>
    <t>Фасовка (ж/б), л</t>
  </si>
  <si>
    <t>4,0-9,0</t>
  </si>
  <si>
    <t>44-110</t>
  </si>
  <si>
    <t>13,26-33,15</t>
  </si>
  <si>
    <t>17,90-44,74</t>
  </si>
  <si>
    <t>33,0-13,2</t>
  </si>
  <si>
    <t>33-13</t>
  </si>
  <si>
    <t>60-120</t>
  </si>
  <si>
    <t>88-175</t>
  </si>
  <si>
    <t>28-55</t>
  </si>
  <si>
    <t>Ж/Б</t>
  </si>
  <si>
    <t>Г1, РП1, В1, Д2, Т2   ФЗ-123 (КМ1)</t>
  </si>
  <si>
    <r>
      <t>НОРТОВСКАЯ</t>
    </r>
    <r>
      <rPr>
        <b/>
        <vertAlign val="superscript"/>
        <sz val="10"/>
        <rFont val="Arial Cyr"/>
        <charset val="204"/>
      </rPr>
      <t>®</t>
    </r>
    <r>
      <rPr>
        <b/>
        <sz val="10"/>
        <rFont val="Arial Cyr"/>
        <charset val="204"/>
      </rPr>
      <t xml:space="preserve"> КРАСКА ИНТЕРЬЕРНАЯ (белоснежная)</t>
    </r>
    <r>
      <rPr>
        <sz val="10"/>
        <rFont val="Arial Cyr"/>
        <charset val="204"/>
      </rPr>
      <t xml:space="preserve">
Водно-дисперсионная акриловая пожаробезопасная  краска для отделки и защиты деревянных, бетонных, каменных, кирпичных поверхностей внутри зданий и сооружений, для поврехностей, окрашенных красками ВД или красками на органической основе.</t>
    </r>
  </si>
  <si>
    <t>42,47 / 24,61</t>
  </si>
  <si>
    <r>
      <t>НОРТЕКС</t>
    </r>
    <r>
      <rPr>
        <b/>
        <vertAlign val="superscript"/>
        <sz val="10"/>
        <rFont val="Arial Cyr"/>
        <charset val="204"/>
      </rPr>
      <t>®</t>
    </r>
    <r>
      <rPr>
        <b/>
        <sz val="10"/>
        <rFont val="Arial Cyr"/>
        <family val="2"/>
        <charset val="204"/>
      </rPr>
      <t>-ДОКТОР для бетона</t>
    </r>
    <r>
      <rPr>
        <sz val="10"/>
        <rFont val="Arial Cyr"/>
        <family val="2"/>
        <charset val="204"/>
      </rPr>
      <t xml:space="preserve">
Антисептическая пропитка для защиты здоровых и лечения пораженных бетона, камня, кирпича от плесени, водорослей. Для наружных и внутренних работ.</t>
    </r>
  </si>
  <si>
    <r>
      <t>НОРТЕКС</t>
    </r>
    <r>
      <rPr>
        <b/>
        <vertAlign val="superscript"/>
        <sz val="10"/>
        <rFont val="Arial Cyr"/>
        <charset val="204"/>
      </rPr>
      <t>®</t>
    </r>
    <r>
      <rPr>
        <b/>
        <sz val="10"/>
        <rFont val="Arial Cyr"/>
        <family val="2"/>
        <charset val="204"/>
      </rPr>
      <t>-ДЕЗИНФЕКТОР для древесины</t>
    </r>
    <r>
      <rPr>
        <sz val="10"/>
        <rFont val="Arial Cyr"/>
        <family val="2"/>
        <charset val="204"/>
      </rPr>
      <t xml:space="preserve">
Антисептическая пропитка для защиты сильно пораженной плесенью, жуком-древоточцем древесины. Для наружных и внутренних работ.</t>
    </r>
  </si>
  <si>
    <r>
      <t>НОРТЕКС</t>
    </r>
    <r>
      <rPr>
        <b/>
        <vertAlign val="superscript"/>
        <sz val="10"/>
        <rFont val="Arial Cyr"/>
        <charset val="204"/>
      </rPr>
      <t>®</t>
    </r>
    <r>
      <rPr>
        <b/>
        <sz val="10"/>
        <rFont val="Arial Cyr"/>
        <family val="2"/>
        <charset val="204"/>
      </rPr>
      <t xml:space="preserve">-ДЕЗИНФЕКТОР для бетона </t>
    </r>
    <r>
      <rPr>
        <sz val="10"/>
        <rFont val="Arial Cyr"/>
        <family val="2"/>
        <charset val="204"/>
      </rPr>
      <t xml:space="preserve">
Антисептическая пропитка для сильно пораженных плесенью и водорослями бетонных, каменных и кирпичных поверхностей. Для наружных и внутренних работ.</t>
    </r>
  </si>
  <si>
    <t>52,34 / 30,82</t>
  </si>
  <si>
    <t xml:space="preserve"> _</t>
  </si>
  <si>
    <t>2,6 кг</t>
  </si>
  <si>
    <t>0,9 кг</t>
  </si>
  <si>
    <t>3,3 кг</t>
  </si>
  <si>
    <t>10,5 кг</t>
  </si>
  <si>
    <t>4,5 кг</t>
  </si>
  <si>
    <t>15 кг</t>
  </si>
  <si>
    <t>3,4 кг</t>
  </si>
  <si>
    <t>11 кг</t>
  </si>
  <si>
    <t>0,95 л</t>
  </si>
  <si>
    <t>3,3 л</t>
  </si>
  <si>
    <t>11 л</t>
  </si>
  <si>
    <t>2,7 кг</t>
  </si>
  <si>
    <t>0,95 кг</t>
  </si>
  <si>
    <t>0,9 л</t>
  </si>
  <si>
    <t>2,7 л</t>
  </si>
  <si>
    <r>
      <rPr>
        <b/>
        <sz val="20"/>
        <rFont val="Arial"/>
        <family val="2"/>
        <charset val="204"/>
      </rPr>
      <t>KRASULA® для бань и саун</t>
    </r>
    <r>
      <rPr>
        <sz val="20"/>
        <rFont val="Arial"/>
        <family val="2"/>
        <charset val="204"/>
      </rPr>
      <t xml:space="preserve">
Защитный состав для древесины внутри бань и саун. Водно-дисперсионный, с натуральным воском. Защищает от воды, грязи, плесени, жука-древоточца, препятствует потемнению древесины. Образует бесцветное дышащее водоотталкивающее покрытие.</t>
    </r>
  </si>
  <si>
    <t>5 лет внутри парных и моечных
7 лет в комнатах отдыха</t>
  </si>
  <si>
    <t>60-90</t>
  </si>
  <si>
    <t>7,62-11,43</t>
  </si>
  <si>
    <t>10-15</t>
  </si>
  <si>
    <t>30-45</t>
  </si>
  <si>
    <t>5,9 / 2,95</t>
  </si>
  <si>
    <t>6,5 / 3,25</t>
  </si>
  <si>
    <t>12,39-30,99</t>
  </si>
  <si>
    <t>11,28-28,21</t>
  </si>
  <si>
    <t>16,61-41,52</t>
  </si>
  <si>
    <t>15,12-37,80</t>
  </si>
  <si>
    <t>8,4-12,6</t>
  </si>
  <si>
    <t>11,73-17,60</t>
  </si>
  <si>
    <t>10,66-15,99</t>
  </si>
  <si>
    <t>22 кг</t>
  </si>
  <si>
    <t>26 кг</t>
  </si>
  <si>
    <t>24 кг</t>
  </si>
  <si>
    <t>21 кг</t>
  </si>
  <si>
    <t>20 кг</t>
  </si>
  <si>
    <t>ПЭТ бочка 21 кг</t>
  </si>
  <si>
    <t>277,15-498,87</t>
  </si>
  <si>
    <t>355,85 - 640,58</t>
  </si>
  <si>
    <t>Г1, РП1, В1, Д2, Т2 ФЗ-123 (КМ1, К0(15))</t>
  </si>
  <si>
    <t>10 кг</t>
  </si>
  <si>
    <t>3,2 кг</t>
  </si>
  <si>
    <t>1 кг</t>
  </si>
  <si>
    <t>3,5 кг</t>
  </si>
  <si>
    <t>1,1 кг</t>
  </si>
  <si>
    <t>Огнебиозащитные средства</t>
  </si>
  <si>
    <t xml:space="preserve">       Антисептики</t>
  </si>
  <si>
    <r>
      <rPr>
        <b/>
        <sz val="20"/>
        <rFont val="Arial"/>
        <family val="2"/>
        <charset val="204"/>
      </rPr>
      <t>KRASULA</t>
    </r>
    <r>
      <rPr>
        <b/>
        <vertAlign val="superscript"/>
        <sz val="20"/>
        <rFont val="Arial"/>
        <family val="2"/>
        <charset val="204"/>
      </rPr>
      <t>®</t>
    </r>
    <r>
      <rPr>
        <sz val="20"/>
        <rFont val="Arial"/>
        <family val="2"/>
        <charset val="204"/>
      </rPr>
      <t xml:space="preserve">
Состав для защиты и тонирования древесины. Защищает от УФ-лучей, атмосферных осадков, плесени, старения, жуков-древоточцев. Возможно нанесение на свежеспиленную древесину с влажностью до 65%. 10 вариантов цветов. Для наружных и внутренних работ. Идеален для финишного покрытия после обработки ПИРИЛАКС-Prime.</t>
    </r>
  </si>
  <si>
    <r>
      <t>Pirilax</t>
    </r>
    <r>
      <rPr>
        <b/>
        <vertAlign val="superscript"/>
        <sz val="20"/>
        <rFont val="Arial"/>
        <family val="2"/>
        <charset val="204"/>
      </rPr>
      <t>®</t>
    </r>
    <r>
      <rPr>
        <b/>
        <sz val="20"/>
        <rFont val="Arial"/>
        <family val="2"/>
        <charset val="204"/>
      </rPr>
      <t>- Classic</t>
    </r>
    <r>
      <rPr>
        <b/>
        <vertAlign val="superscript"/>
        <sz val="20"/>
        <rFont val="Arial Cyr"/>
        <charset val="204"/>
      </rPr>
      <t xml:space="preserve"> </t>
    </r>
    <r>
      <rPr>
        <b/>
        <vertAlign val="superscript"/>
        <sz val="20"/>
        <rFont val="Arial"/>
        <family val="2"/>
        <charset val="204"/>
      </rPr>
      <t xml:space="preserve"> </t>
    </r>
    <r>
      <rPr>
        <sz val="20"/>
        <rFont val="Arial"/>
        <family val="2"/>
        <charset val="204"/>
      </rPr>
      <t xml:space="preserve"> </t>
    </r>
    <r>
      <rPr>
        <b/>
        <sz val="20"/>
        <rFont val="Arial"/>
        <family val="2"/>
        <charset val="204"/>
      </rPr>
      <t xml:space="preserve">для древесины        
</t>
    </r>
    <r>
      <rPr>
        <sz val="20"/>
        <rFont val="Arial"/>
        <family val="2"/>
        <charset val="204"/>
      </rPr>
      <t>Биопирен (антипирен-антисептик) для древесины.  Для наружных и внутренних работ, зон риска. Надежная защита от огня, плесени, жука-древоточца. Тонирует поверхность в янтарный цвет.</t>
    </r>
  </si>
  <si>
    <r>
      <t>Pirilax</t>
    </r>
    <r>
      <rPr>
        <b/>
        <vertAlign val="superscript"/>
        <sz val="10"/>
        <rFont val="Arial Cyr"/>
        <charset val="204"/>
      </rPr>
      <t>®</t>
    </r>
    <r>
      <rPr>
        <b/>
        <sz val="10"/>
        <rFont val="Arial Cyr"/>
        <family val="2"/>
        <charset val="204"/>
      </rPr>
      <t xml:space="preserve"> - Terma  для древесины 
</t>
    </r>
    <r>
      <rPr>
        <sz val="10"/>
        <rFont val="Arial Cyr"/>
        <family val="2"/>
        <charset val="204"/>
      </rPr>
      <t>Огнезащитная пропитка-антисептик для древесины. Для бань и саун внутри (из хвойных пород древесины ) и снаружи (из любых пород древесины). Надежная защита от огня, плесени,  жука-древоточца. Тонирует поверхность в янтарный цвет. Рекомендуется применять внутри помещений с составом "Krasula для бань и саун", снаружи - с составом для защиты и тонирования древесины "Krasula".</t>
    </r>
  </si>
  <si>
    <r>
      <t>Pirilax</t>
    </r>
    <r>
      <rPr>
        <b/>
        <vertAlign val="superscript"/>
        <sz val="10"/>
        <rFont val="Arial Cyr"/>
        <charset val="204"/>
      </rPr>
      <t>®</t>
    </r>
    <r>
      <rPr>
        <b/>
        <sz val="10"/>
        <rFont val="Arial Cyr"/>
        <family val="2"/>
        <charset val="204"/>
      </rPr>
      <t>- Classic</t>
    </r>
    <r>
      <rPr>
        <b/>
        <sz val="10"/>
        <rFont val="Arial Cyr"/>
        <charset val="204"/>
      </rPr>
      <t xml:space="preserve"> для древесины </t>
    </r>
    <r>
      <rPr>
        <sz val="10"/>
        <rFont val="Arial Cyr"/>
        <family val="2"/>
        <charset val="204"/>
      </rPr>
      <t xml:space="preserve">
Огнезащитная пропитка – антисептик для древесины. Для наружных и внутренних работ, зон риска. Надежная защита от огня, плесени, жука-древоточца. Тонирует поверхность в янтарный цвет.</t>
    </r>
  </si>
  <si>
    <r>
      <t>Pirilax</t>
    </r>
    <r>
      <rPr>
        <b/>
        <vertAlign val="superscript"/>
        <sz val="20"/>
        <rFont val="Arial"/>
        <family val="2"/>
        <charset val="204"/>
      </rPr>
      <t>®</t>
    </r>
    <r>
      <rPr>
        <b/>
        <sz val="20"/>
        <rFont val="Arial"/>
        <family val="2"/>
        <charset val="204"/>
      </rPr>
      <t xml:space="preserve"> - Classic</t>
    </r>
    <r>
      <rPr>
        <b/>
        <vertAlign val="superscript"/>
        <sz val="20"/>
        <rFont val="Arial"/>
        <family val="2"/>
        <charset val="204"/>
      </rPr>
      <t xml:space="preserve"> </t>
    </r>
    <r>
      <rPr>
        <sz val="20"/>
        <rFont val="Arial"/>
        <family val="2"/>
        <charset val="204"/>
      </rPr>
      <t xml:space="preserve"> </t>
    </r>
    <r>
      <rPr>
        <b/>
        <sz val="20"/>
        <rFont val="Arial"/>
        <family val="2"/>
        <charset val="204"/>
      </rPr>
      <t xml:space="preserve">для древесины        
</t>
    </r>
    <r>
      <rPr>
        <sz val="20"/>
        <rFont val="Arial"/>
        <family val="2"/>
        <charset val="204"/>
      </rPr>
      <t>Биопирен (антипирен-антисептик).  Для наружных и внутренних работ, зон риска. Надежная защита от огня, плесени, жука-древоточца. Тонирует поверхность в янтарный цвет.</t>
    </r>
  </si>
  <si>
    <r>
      <t>Pirilax</t>
    </r>
    <r>
      <rPr>
        <b/>
        <vertAlign val="superscript"/>
        <sz val="20"/>
        <rFont val="Arial"/>
        <family val="2"/>
        <charset val="204"/>
      </rPr>
      <t>®</t>
    </r>
    <r>
      <rPr>
        <b/>
        <sz val="20"/>
        <rFont val="Arial"/>
        <family val="2"/>
        <charset val="204"/>
      </rPr>
      <t xml:space="preserve"> - Lux</t>
    </r>
    <r>
      <rPr>
        <b/>
        <vertAlign val="superscript"/>
        <sz val="20"/>
        <rFont val="Arial"/>
        <family val="2"/>
        <charset val="204"/>
      </rPr>
      <t>1</t>
    </r>
    <r>
      <rPr>
        <b/>
        <sz val="20"/>
        <rFont val="Arial"/>
        <family val="2"/>
        <charset val="204"/>
      </rPr>
      <t xml:space="preserve"> для древесины
</t>
    </r>
    <r>
      <rPr>
        <sz val="20"/>
        <rFont val="Arial"/>
        <family val="2"/>
        <charset val="204"/>
      </rPr>
      <t xml:space="preserve">Биопирен (антипирен-антисептик) для древесины. Обладает усиленными антисептическими свойствами. Для наружных и внутренних работ, зон риска. Эффективно уничтожает плесень, жука-древоточца, термитов. Надежно защищает от огня. Тонирует поверхность в янтарный цвет. Для жестких условий эксплуатации. </t>
    </r>
  </si>
  <si>
    <t>Огнебиозащитные средства и ЛКМ бытового назначения</t>
  </si>
  <si>
    <t xml:space="preserve">       Ж/Б</t>
  </si>
  <si>
    <t xml:space="preserve">       ПЭТ бутылка</t>
  </si>
  <si>
    <t xml:space="preserve">    ПЭТ ведро</t>
  </si>
  <si>
    <t>Действует с 15.04.2014г.</t>
  </si>
  <si>
    <t>ПЭТ ведро 9,5 кг</t>
  </si>
  <si>
    <t>18,29 - 42,68</t>
  </si>
  <si>
    <t>34,15 / 21,95</t>
  </si>
  <si>
    <t>22,45 - 52,38</t>
  </si>
  <si>
    <t>41,9 / 26,94</t>
  </si>
  <si>
    <t>0 / 0</t>
  </si>
  <si>
    <t>19,23 - 44,87</t>
  </si>
  <si>
    <t>35,89 / 23,07</t>
  </si>
  <si>
    <t>150-350</t>
  </si>
  <si>
    <t>12,2 - 28,05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</si>
  <si>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</si>
  <si>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304,88 - 548,78</t>
  </si>
  <si>
    <r>
      <t>Pirilax</t>
    </r>
    <r>
      <rPr>
        <b/>
        <vertAlign val="superscript"/>
        <sz val="20"/>
        <rFont val="Arial"/>
        <family val="2"/>
        <charset val="204"/>
      </rPr>
      <t>®</t>
    </r>
    <r>
      <rPr>
        <b/>
        <sz val="20"/>
        <rFont val="Arial"/>
        <family val="2"/>
        <charset val="204"/>
      </rPr>
      <t xml:space="preserve"> - Terma для древесины</t>
    </r>
    <r>
      <rPr>
        <sz val="20"/>
        <rFont val="Arial"/>
        <family val="2"/>
        <charset val="204"/>
      </rPr>
      <t xml:space="preserve">                                                                                         
Биопирен (антипирен-антисептик) для древесины. Для бань и саун внутри (из хвойных пород древесины ) и снаружи (из любых пород древесины). Надежная защита от огня, плесени,  жука-древоточца. Тонирует поверхность в янтарный цвет. Рекомендуется применять внутри помещений с составом "Krasula для бань и саун", снаружи - с составом для защиты и тонирования древесины "Krasula".</t>
    </r>
  </si>
  <si>
    <r>
      <t>KRASULA</t>
    </r>
    <r>
      <rPr>
        <b/>
        <vertAlign val="superscript"/>
        <sz val="20"/>
        <rFont val="Arial"/>
        <family val="2"/>
        <charset val="204"/>
      </rPr>
      <t xml:space="preserve">®
</t>
    </r>
    <r>
      <rPr>
        <sz val="20"/>
        <rFont val="Arial"/>
        <family val="2"/>
        <charset val="204"/>
      </rPr>
      <t>Состав для защиты и тонирования древесины. Защищает от УФ-лучей, атмосферных осадков, плесени, старения, жуков-древоточцев. Возможно нанесение на свежеспиленную древесину с влажностью до 65%. 10 вариантов цветов. Для наружных и внутренних работ. Идеален для финишного покрытия после обработки Pirilax® - Prime.</t>
    </r>
  </si>
  <si>
    <r>
      <t xml:space="preserve">KRASULA® для бань и саун
</t>
    </r>
    <r>
      <rPr>
        <sz val="20"/>
        <rFont val="Arial"/>
        <family val="2"/>
        <charset val="204"/>
      </rPr>
      <t>Защитный состав для древесины внутри бань и саун. Водно-дисперсионный, с натуральным воском. Защищает от воды, грязи, плесени, жука-древоточца, препятствует потемнению древесины. Образует бесцветное дышащее водоотталкивающее покрытие. Рекомендуется использовать как финишное покрытие внутри бань и саун после обработки Pirilax® - Terma.</t>
    </r>
  </si>
  <si>
    <r>
      <t>KRASULA</t>
    </r>
    <r>
      <rPr>
        <b/>
        <sz val="10"/>
        <rFont val="Calibri"/>
        <family val="2"/>
        <charset val="204"/>
      </rPr>
      <t xml:space="preserve">® </t>
    </r>
    <r>
      <rPr>
        <b/>
        <sz val="10"/>
        <rFont val="Arial"/>
        <family val="2"/>
        <charset val="204"/>
      </rPr>
      <t>для бань и саун</t>
    </r>
    <r>
      <rPr>
        <b/>
        <sz val="10"/>
        <rFont val="Arial Cyr"/>
        <charset val="204"/>
      </rPr>
      <t xml:space="preserve">
</t>
    </r>
    <r>
      <rPr>
        <sz val="10"/>
        <rFont val="Arial Cyr"/>
        <charset val="204"/>
      </rPr>
      <t>Защитный состав для древесины внутри бань и саун. Водно-дисперсионный, с натуральным воском. Защищает от воды, грязи, плесени, жука-древоточца, препятствует потемнению древесины. Образует бесцветное дышащее водоотталкивающее покрытие. Рекомендуется использовать как финишное покрытие внутри бань и саун после обработки Pirilax® - Terma.</t>
    </r>
  </si>
  <si>
    <r>
      <t>KRASULA</t>
    </r>
    <r>
      <rPr>
        <b/>
        <sz val="10"/>
        <rFont val="Calibri"/>
        <family val="2"/>
        <charset val="204"/>
      </rPr>
      <t>®</t>
    </r>
    <r>
      <rPr>
        <b/>
        <sz val="10"/>
        <rFont val="Arial Cyr"/>
        <charset val="204"/>
      </rPr>
      <t xml:space="preserve">
</t>
    </r>
    <r>
      <rPr>
        <sz val="10"/>
        <rFont val="Arial Cyr"/>
        <charset val="204"/>
      </rPr>
      <t>Состав для защиты и тонирования древесины. Защищает от УФ-лучей, атмосферных осадков, плесени, старения, жуков-древоточцев. Возможно нанесение на свежеспиленную древесину с влажностью до 65%. 10 вариантов цветов. Для наружных и внутренних работ. Идеален для финишного покрытия после обработки Pirilax® - Prime.</t>
    </r>
  </si>
  <si>
    <t>24,02-56,06</t>
  </si>
  <si>
    <t>380,85-685,51</t>
  </si>
  <si>
    <t>3 - Нортекс-Х Таблица ГЭСН 2602-034, ТЭСН 26-02-034</t>
  </si>
  <si>
    <t>4 - Нортекс-С Таблица ГЭСН 26-02-035, ТЭСН 26-02-035</t>
  </si>
  <si>
    <t>6 - Нортекс-КП Таблица ГЭСН 26-02-037, ТЭСН 26-02-037</t>
  </si>
  <si>
    <t>7 - Нортекс-К Таблица ГЭСН 26-02-025, ТЭСН 26-02-026, ТЭСН 26-02-025</t>
  </si>
  <si>
    <t>8 - ЛТСМ-1 Таблица ГЭСН 15-07-001, ТЭСН 15-07-001</t>
  </si>
  <si>
    <t>9-МИГ-09 Таблица ТЭСН 26-02-028</t>
  </si>
  <si>
    <t>1 - Нортекс-Доктор Таблица ГЭСН 10-01-093, ТЭСН 10-01-093</t>
  </si>
  <si>
    <t>2 - Нортекс-Дезинфектор Таблица ГЭСН 10-01-092, ТЭСН 10-01-092</t>
  </si>
  <si>
    <t>3 - Нортекс-Отбеливатель Таблица ГЭСН 10-01-094,  ТЭСН 10-01-094</t>
  </si>
  <si>
    <t>4 - Нортекс-Грунт Таблица ГЭСН 15-07-003, ТЭСН 15-07-003</t>
  </si>
  <si>
    <t>5 - Нортовские лаки и краски Таблица ГЭСН 15-07-002, ТЭСН 15-07-002</t>
  </si>
  <si>
    <t>5 - Нортекс-Ш Таблица ГЭСН 26-02-036, ТЭСН 26-02-036</t>
  </si>
  <si>
    <r>
      <t>Для справки: стоимость состава "Pirilax" для обработки 1м</t>
    </r>
    <r>
      <rPr>
        <b/>
        <i/>
        <vertAlign val="superscript"/>
        <sz val="18"/>
        <rFont val="Arial"/>
        <family val="2"/>
        <charset val="204"/>
      </rPr>
      <t>2</t>
    </r>
    <r>
      <rPr>
        <b/>
        <i/>
        <sz val="18"/>
        <rFont val="Arial"/>
        <family val="2"/>
        <charset val="204"/>
      </rPr>
      <t xml:space="preserve"> на I -ю группу с учетом срока службы покрытия, руб./год</t>
    </r>
  </si>
  <si>
    <t xml:space="preserve"> ООО "Торговый дом "НОРТ  426077,
 Российская Федерация, Удмуртская Республика, г. Ижевск, а/я 2921                                                                                               тел./факс: (3412) 941-941   e-mail: inform@nort-udm.ru; http://www.nort-udm.ru</t>
  </si>
  <si>
    <t xml:space="preserve">Расход, г/м2. </t>
  </si>
  <si>
    <t>46 кг</t>
  </si>
  <si>
    <t>280/180</t>
  </si>
  <si>
    <t>50 кг</t>
  </si>
  <si>
    <r>
      <rPr>
        <b/>
        <sz val="10"/>
        <rFont val="Arial Cyr"/>
        <charset val="204"/>
      </rPr>
      <t xml:space="preserve">Pirilax®- Classic   для древесины  </t>
    </r>
    <r>
      <rPr>
        <sz val="10"/>
        <rFont val="Arial Cyr"/>
        <charset val="204"/>
      </rPr>
      <t xml:space="preserve">      
Биопирен (антипирен-антисептик) для древесины.  Для наружных и внутренних работ, зон риска. Надежная защита от огня, плесени, жука-древоточца. Тонирует поверхность в янтарный цвет.</t>
    </r>
  </si>
  <si>
    <t>100/50</t>
  </si>
  <si>
    <t>25 кг</t>
  </si>
  <si>
    <t>300/200</t>
  </si>
  <si>
    <t>48 кг гот. р-р</t>
  </si>
  <si>
    <t>3166,00</t>
  </si>
  <si>
    <t>103/69</t>
  </si>
  <si>
    <t>65 кг конц.</t>
  </si>
  <si>
    <t>16 кг конц.</t>
  </si>
  <si>
    <t>5 кг конц.</t>
  </si>
  <si>
    <t>100-230</t>
  </si>
  <si>
    <t xml:space="preserve"> 9,5 кг</t>
  </si>
  <si>
    <t xml:space="preserve"> 21 кг</t>
  </si>
  <si>
    <t xml:space="preserve"> 43 кг</t>
  </si>
  <si>
    <t>43 кг</t>
  </si>
  <si>
    <t>2,5-4,5 кг/кв.м</t>
  </si>
  <si>
    <r>
      <rPr>
        <b/>
        <sz val="10"/>
        <rFont val="Arial Cyr"/>
        <charset val="204"/>
      </rPr>
      <t>НОРТЕКС®- К</t>
    </r>
    <r>
      <rPr>
        <sz val="10"/>
        <rFont val="Arial Cyr"/>
        <charset val="204"/>
      </rPr>
      <t xml:space="preserve">
Огнезащитный состав для покрытия водоизоляционного ковра из битумного кровельного материала на основе из картона, стекловолокна или полимерных волокон.</t>
    </r>
  </si>
  <si>
    <t>1,7 кг/кв.м</t>
  </si>
  <si>
    <t>40 кг</t>
  </si>
  <si>
    <r>
      <rPr>
        <b/>
        <sz val="10"/>
        <rFont val="Arial Cyr"/>
        <charset val="204"/>
      </rPr>
      <t>ЛТСМ - 19</t>
    </r>
    <r>
      <rPr>
        <sz val="10"/>
        <rFont val="Arial Cyr"/>
        <charset val="204"/>
      </rPr>
      <t xml:space="preserve">
Термоуплотнительная самоклеящаяся лента.</t>
    </r>
  </si>
  <si>
    <t>Ширина 20 мм, толщина 2 мм</t>
  </si>
  <si>
    <t xml:space="preserve"> 6,6 м</t>
  </si>
  <si>
    <t>Антисептики</t>
  </si>
  <si>
    <r>
      <rPr>
        <b/>
        <sz val="10"/>
        <rFont val="Arial Cyr"/>
        <charset val="204"/>
      </rPr>
      <t>НОРТЕКС®-ДОКТОР</t>
    </r>
    <r>
      <rPr>
        <sz val="10"/>
        <rFont val="Arial Cyr"/>
        <charset val="204"/>
      </rPr>
      <t xml:space="preserve">
Универсальный антисептик для  здоровых и пораженных деревянных, бетонных, каменных, кирпичных поверхностей. Уничтожает плесень, жука-древоточца, препятствует появлению. Не тонирует поверхность. Рекомендуется для бань из хвойных пород, свежесрубленной древесины, срубов на выдержке. Для внутренних и наружных работ.</t>
    </r>
  </si>
  <si>
    <r>
      <rPr>
        <b/>
        <sz val="10"/>
        <rFont val="Arial Cyr"/>
        <charset val="204"/>
      </rPr>
      <t xml:space="preserve">НОРТЕКС®-ДЕЗИНФЕКТОР для древесины </t>
    </r>
    <r>
      <rPr>
        <sz val="10"/>
        <rFont val="Arial Cyr"/>
        <charset val="204"/>
      </rPr>
      <t xml:space="preserve">
Антисептик для сильно пораженной плесенью, жуком-древоточцем древесины. Для внутренних и наружных работ.</t>
    </r>
  </si>
  <si>
    <t>Декор</t>
  </si>
  <si>
    <r>
      <rPr>
        <b/>
        <sz val="10"/>
        <rFont val="Arial Cyr"/>
        <charset val="204"/>
      </rPr>
      <t>НОРТОВСКАЯ® КРАСКА ИНТЕРЬЕРНАЯ</t>
    </r>
    <r>
      <rPr>
        <sz val="10"/>
        <rFont val="Arial Cyr"/>
        <charset val="204"/>
      </rPr>
      <t xml:space="preserve"> (белоснежная) 
Водно-дисперсионная акриловая пожаробезопасная  краска для отделки и защиты деревянных, бетонных, каменных, кирпичных поверхностей внутри зданий и сооружений, для поврехностей, окрашенных красками ВД или красками на органической основе.
Соответствует показателям Г1, РП1, В1, Д1, Т1 (класс пожарной опасности КМ1)</t>
    </r>
  </si>
  <si>
    <r>
      <rPr>
        <b/>
        <sz val="10"/>
        <rFont val="Arial Cyr"/>
        <charset val="204"/>
      </rPr>
      <t>KRASULA®</t>
    </r>
    <r>
      <rPr>
        <sz val="10"/>
        <rFont val="Arial Cyr"/>
        <charset val="204"/>
      </rPr>
      <t xml:space="preserve">
Состав для защиты и тонирования древесины. 
Защищает от УФ-лучей, атмосферных осадков, плесени,
 старения, жуков-древоточцев. Возможно нанесение на свежеспиленную древесину с влажностью до 65%. 10 вариантов цветов. Для наружных и внутренних работ. Идеален для финишного покрытия после обработки Pirilax® - Prime.</t>
    </r>
  </si>
  <si>
    <r>
      <rPr>
        <b/>
        <sz val="10"/>
        <rFont val="Arial Cyr"/>
        <charset val="204"/>
      </rPr>
      <t>KRASULA® для бань и саун</t>
    </r>
    <r>
      <rPr>
        <sz val="10"/>
        <rFont val="Arial Cyr"/>
        <charset val="204"/>
      </rPr>
      <t xml:space="preserve">
Защитный состав для древесины внутри бань и саун.
 Водно-дисперсионный, с натуральным воском. Защищает 
от воды, грязи, плесени, жука-древоточца, препятствует потемнению древесины. Образует бесцветное дышащее водоотталкивающее покрытие. Рекомендуется использовать как финишное покрытие внутри бань и саун после обработки Pirilax® - Terma.</t>
    </r>
  </si>
  <si>
    <t>ЕЦП опт, руб. (15%)</t>
  </si>
  <si>
    <t>ЕЦП розн., руб. (30%)</t>
  </si>
  <si>
    <r>
      <t>Pirilax</t>
    </r>
    <r>
      <rPr>
        <b/>
        <vertAlign val="superscript"/>
        <sz val="10"/>
        <rFont val="Arial Cyr"/>
        <charset val="204"/>
      </rPr>
      <t>®</t>
    </r>
    <r>
      <rPr>
        <b/>
        <sz val="10"/>
        <rFont val="Arial Cyr"/>
        <family val="2"/>
        <charset val="204"/>
      </rPr>
      <t xml:space="preserve">- Lux для древесины </t>
    </r>
    <r>
      <rPr>
        <sz val="10"/>
        <rFont val="Arial Cyr"/>
        <family val="2"/>
        <charset val="204"/>
      </rPr>
      <t xml:space="preserve">
Огнезащитная пропитка –  усиленный антисептик для древесины. Для наружных
 и внутренних работ, зон риска. Эффективно уничтожает плесень, жука-древоточца, термитов. Надежно защищает от огня. Тонирует поверхность в янтарный цвет. Для жестких условий эксплуатации. </t>
    </r>
  </si>
  <si>
    <r>
      <t>НОРТЕКС</t>
    </r>
    <r>
      <rPr>
        <b/>
        <vertAlign val="superscript"/>
        <sz val="10"/>
        <rFont val="Arial Cyr"/>
        <charset val="204"/>
      </rPr>
      <t>®</t>
    </r>
    <r>
      <rPr>
        <b/>
        <sz val="10"/>
        <rFont val="Arial Cyr"/>
        <family val="2"/>
        <charset val="204"/>
      </rPr>
      <t>-ДЕЗИНФЕКТОР для древесины</t>
    </r>
    <r>
      <rPr>
        <sz val="10"/>
        <rFont val="Arial Cyr"/>
        <family val="2"/>
        <charset val="204"/>
      </rPr>
      <t xml:space="preserve">
Антисептическая пропитка для защиты сильно пораженной плесенью,
 жуком-древоточцем древесины. Для наружных и внутренних работ.</t>
    </r>
  </si>
  <si>
    <r>
      <t>Pirilax</t>
    </r>
    <r>
      <rPr>
        <b/>
        <vertAlign val="superscript"/>
        <sz val="10"/>
        <rFont val="Arial Cyr"/>
        <charset val="204"/>
      </rPr>
      <t>®</t>
    </r>
    <r>
      <rPr>
        <b/>
        <sz val="10"/>
        <rFont val="Arial Cyr"/>
        <family val="2"/>
        <charset val="204"/>
      </rPr>
      <t xml:space="preserve">- Lux для древесины </t>
    </r>
    <r>
      <rPr>
        <sz val="10"/>
        <rFont val="Arial Cyr"/>
        <family val="2"/>
        <charset val="204"/>
      </rPr>
      <t xml:space="preserve">
Огнезащитная пропитка –  усиленный антисептик для древесины. Для наружных и 
внутренних работ, зон риска. Эффективно уничтожает плесень, жука-древоточца, термитов. Надежно защищает от огня. Тонирует поверхность в янтарный цвет. Для жестких условий эксплуатации. </t>
    </r>
  </si>
  <si>
    <t>Цена за кг с НДС, руб.</t>
  </si>
  <si>
    <r>
      <t>Pirilax</t>
    </r>
    <r>
      <rPr>
        <b/>
        <vertAlign val="superscript"/>
        <sz val="20"/>
        <rFont val="Arial"/>
        <family val="2"/>
        <charset val="204"/>
      </rPr>
      <t>®</t>
    </r>
    <r>
      <rPr>
        <b/>
        <sz val="20"/>
        <rFont val="Arial"/>
        <family val="2"/>
        <charset val="204"/>
      </rPr>
      <t xml:space="preserve"> - Prime для древесины 
</t>
    </r>
    <r>
      <rPr>
        <sz val="20"/>
        <rFont val="Arial"/>
        <family val="2"/>
        <charset val="204"/>
      </rPr>
      <t>Биопирен (антипирен-антисептик) для наружных и внутренних работ. Для предварительной обработки конструкций перед нанесением ЛКМ. Идеально совместим с составом для защиты и тонирования древесины "Krasula". Не тонирует повехность.</t>
    </r>
  </si>
  <si>
    <r>
      <t>Pirilax</t>
    </r>
    <r>
      <rPr>
        <b/>
        <vertAlign val="superscript"/>
        <sz val="20"/>
        <rFont val="Arial Cyr"/>
        <charset val="204"/>
      </rPr>
      <t>®</t>
    </r>
    <r>
      <rPr>
        <b/>
        <sz val="20"/>
        <rFont val="Arial"/>
        <family val="2"/>
        <charset val="204"/>
      </rPr>
      <t xml:space="preserve"> - Terma  для древесины</t>
    </r>
    <r>
      <rPr>
        <sz val="20"/>
        <rFont val="Arial"/>
        <family val="2"/>
        <charset val="204"/>
      </rPr>
      <t xml:space="preserve">             
Биопирен (антипирен-антисептик) для древесины. Для бань и саун внутри (из хвойных пород древесины) и снаружи (из любых пород древесины). Надежная защита от огня, плесени,  жука-древоточца. Тонирует поверхность в янтарный цвет. Рекомендуется применять внутри помещений с составом "Krasula для бань и саун", снаружи - с составом для защиты и тонирования древесины "Krasula".</t>
    </r>
  </si>
  <si>
    <r>
      <rPr>
        <b/>
        <sz val="10"/>
        <rFont val="Arial Cyr"/>
        <charset val="204"/>
      </rPr>
      <t xml:space="preserve"> Pirilax</t>
    </r>
    <r>
      <rPr>
        <vertAlign val="superscript"/>
        <sz val="10"/>
        <rFont val="Arial Cyr"/>
        <charset val="204"/>
      </rPr>
      <t>®</t>
    </r>
    <r>
      <rPr>
        <b/>
        <sz val="10"/>
        <rFont val="Arial Cyr"/>
        <charset val="204"/>
      </rPr>
      <t xml:space="preserve"> - Prime для древесины </t>
    </r>
    <r>
      <rPr>
        <sz val="10"/>
        <rFont val="Arial Cyr"/>
        <family val="2"/>
        <charset val="204"/>
      </rPr>
      <t xml:space="preserve">
 Антисептик с огнезащитным эффектом для наружных и внутренних работ. Для предварительной обработки конструкций перед нанесением ЛКМ. Идеально совместим с составом для защиты и тонирования древесины "Krasula". Не тонирует поверхность.</t>
    </r>
  </si>
  <si>
    <r>
      <rPr>
        <b/>
        <sz val="10"/>
        <rFont val="Arial Cyr"/>
        <charset val="204"/>
      </rPr>
      <t>Pirilax® - Prime для древесины</t>
    </r>
    <r>
      <rPr>
        <sz val="10"/>
        <rFont val="Arial Cyr"/>
        <charset val="204"/>
      </rPr>
      <t xml:space="preserve"> 
Биопирен (антипирен-антисептик) для наружных и внутренних работ. Для предварительной обработки конструкций перед нанесением ЛКМ. Идеально совместим с составом для защиты и тонирования  древесины "Krasula". Не тонирует повехность.</t>
    </r>
  </si>
  <si>
    <r>
      <rPr>
        <b/>
        <sz val="10"/>
        <rFont val="Arial Cyr"/>
        <charset val="204"/>
      </rPr>
      <t xml:space="preserve"> Pirilax</t>
    </r>
    <r>
      <rPr>
        <vertAlign val="superscript"/>
        <sz val="10"/>
        <rFont val="Arial Cyr"/>
        <charset val="204"/>
      </rPr>
      <t>®</t>
    </r>
    <r>
      <rPr>
        <b/>
        <sz val="10"/>
        <rFont val="Arial Cyr"/>
        <charset val="204"/>
      </rPr>
      <t xml:space="preserve"> - Prime для древесины </t>
    </r>
    <r>
      <rPr>
        <sz val="10"/>
        <rFont val="Arial Cyr"/>
        <family val="2"/>
        <charset val="204"/>
      </rPr>
      <t xml:space="preserve">
Антисептик с огнезащитным эффектом для наружных и внутренних работ. Для предварительной обработки конструкций перед нанесением ЛКМ. Идеально совместим с составом для защиты и тонирования "Krasula". Не тонирует поверхность.</t>
    </r>
  </si>
  <si>
    <r>
      <rPr>
        <b/>
        <sz val="10"/>
        <rFont val="Arial Cyr"/>
        <charset val="204"/>
      </rPr>
      <t xml:space="preserve">Pirilax® - Terma  для древесины </t>
    </r>
    <r>
      <rPr>
        <sz val="10"/>
        <rFont val="Arial Cyr"/>
        <charset val="204"/>
      </rPr>
      <t xml:space="preserve">            
Биопирен (антипирен-антисептик) для древесины. Для бань и саун внутри (из хвойных пород древесины) и снаружи (из любых пород древесины). Надежная защита от огня, плесени,  жука-древоточца. Тонирует поверхность в янтарный цвет. Рекомендуется применять внутри помещений с составом "Krasula для бань и саун", снаружи - с составом для защиты и тонирования древесины "Krasula".</t>
    </r>
  </si>
  <si>
    <r>
      <t>Pirilax</t>
    </r>
    <r>
      <rPr>
        <b/>
        <vertAlign val="superscript"/>
        <sz val="20"/>
        <rFont val="Arial Cyr"/>
        <charset val="204"/>
      </rPr>
      <t>®</t>
    </r>
    <r>
      <rPr>
        <b/>
        <sz val="20"/>
        <rFont val="Arial"/>
        <family val="2"/>
        <charset val="204"/>
      </rPr>
      <t>- Lux</t>
    </r>
    <r>
      <rPr>
        <b/>
        <vertAlign val="superscript"/>
        <sz val="20"/>
        <rFont val="Arial"/>
        <family val="2"/>
        <charset val="204"/>
      </rPr>
      <t>1</t>
    </r>
    <r>
      <rPr>
        <b/>
        <sz val="20"/>
        <rFont val="Arial"/>
        <family val="2"/>
        <charset val="204"/>
      </rPr>
      <t xml:space="preserve"> для древесины
</t>
    </r>
    <r>
      <rPr>
        <sz val="20"/>
        <rFont val="Arial"/>
        <family val="2"/>
        <charset val="204"/>
      </rPr>
      <t xml:space="preserve">Биопирен (антипирен-антисептик) для древесины. Обладает усиленными                         антисептическими свойствами. Для наружных и внутренних работ, зон риска.                                        Эффективно уничтожает плесень, жука-древоточца, термитов. Надежно защищает от огня. Тонирует поверхность в янтарный цвет. Для жестких условий эксплуатации. </t>
    </r>
  </si>
  <si>
    <t>Цена расфасованной продукции опт. (руб.), в т.ч. тара и НДС 18%</t>
  </si>
  <si>
    <t>200
+
Krasula 150/
200</t>
  </si>
  <si>
    <t>200+ Krasula 150 /
200</t>
  </si>
  <si>
    <r>
      <t>ОЗОН</t>
    </r>
    <r>
      <rPr>
        <b/>
        <vertAlign val="superscript"/>
        <sz val="20"/>
        <rFont val="Arial Cyr"/>
        <charset val="204"/>
      </rPr>
      <t>®</t>
    </r>
    <r>
      <rPr>
        <b/>
        <sz val="20"/>
        <rFont val="Arial Cyr"/>
        <charset val="204"/>
      </rPr>
      <t>-007</t>
    </r>
    <r>
      <rPr>
        <b/>
        <vertAlign val="superscript"/>
        <sz val="20"/>
        <rFont val="Arial Cyr"/>
        <charset val="204"/>
      </rPr>
      <t>2</t>
    </r>
    <r>
      <rPr>
        <b/>
        <sz val="20"/>
        <rFont val="Arial Cyr"/>
        <charset val="204"/>
      </rPr>
      <t xml:space="preserve"> </t>
    </r>
    <r>
      <rPr>
        <b/>
        <sz val="20"/>
        <rFont val="Arial"/>
        <family val="2"/>
        <charset val="204"/>
      </rPr>
      <t xml:space="preserve">для древесины
</t>
    </r>
    <r>
      <rPr>
        <sz val="20"/>
        <rFont val="Arial"/>
        <family val="2"/>
        <charset val="204"/>
      </rPr>
      <t>Биопирен (антипирен-антисептик)  для чердачных помещений, стропильных систем и скрытых конструкций. 
Наносится без межслойной сушки за 1 прием.
Не тонирует древесину. Состав можно колеровать для придания декоративных свойств поверхности и/или контроля за равномерностью нанесения состава.</t>
    </r>
  </si>
  <si>
    <r>
      <rPr>
        <b/>
        <sz val="10"/>
        <rFont val="Arial Cyr"/>
        <charset val="204"/>
      </rPr>
      <t>НОРТЕКС®- С</t>
    </r>
    <r>
      <rPr>
        <sz val="10"/>
        <rFont val="Arial Cyr"/>
        <charset val="204"/>
      </rPr>
      <t xml:space="preserve">
Биопирен (антипирен-антисептик) для смесовых тканей (хлопок, лен-до 30%, синтетика-до 70%). Возможна обработка 100% синтетических тканей (в зависимости от вида ситнтетического волокна).</t>
    </r>
  </si>
  <si>
    <r>
      <rPr>
        <b/>
        <sz val="10"/>
        <rFont val="Arial Cyr"/>
        <charset val="204"/>
      </rPr>
      <t>НОРТЕКС®- КП</t>
    </r>
    <r>
      <rPr>
        <sz val="10"/>
        <rFont val="Arial Cyr"/>
        <charset val="204"/>
      </rPr>
      <t xml:space="preserve">
Биопирен (антипирен-антисептик) для синтетических (ПАН, ПА-100%) и полушерстяных (Шерсть-80%, ПА-20%) ковров и ковровых изделий.</t>
    </r>
  </si>
  <si>
    <t>В1, РП1, Д2, Т2  (КМ1)</t>
  </si>
  <si>
    <t>ПЭТ ведро 5,0 кг</t>
  </si>
  <si>
    <t>ПЭТ ведро 16 кг</t>
  </si>
  <si>
    <r>
      <rPr>
        <b/>
        <sz val="10"/>
        <rFont val="Arial Cyr"/>
        <charset val="204"/>
      </rPr>
      <t>НОРТЕКС®- Х</t>
    </r>
    <r>
      <rPr>
        <sz val="10"/>
        <rFont val="Arial Cyr"/>
        <charset val="204"/>
      </rPr>
      <t xml:space="preserve">
Биопирен (антипирен-антисептик) для хлопчатобумажных, льняных и шелковых тканей с содержанием синтетики до 10%, однотонных и с рисунком, для пропитки картона и бумаги. </t>
    </r>
  </si>
  <si>
    <r>
      <rPr>
        <b/>
        <sz val="10"/>
        <rFont val="Arial Cyr"/>
        <charset val="204"/>
      </rPr>
      <t>НОРТЕКС®- Ш</t>
    </r>
    <r>
      <rPr>
        <sz val="10"/>
        <rFont val="Arial Cyr"/>
        <charset val="204"/>
      </rPr>
      <t xml:space="preserve">
Биопирен (антипирен-антисептик)  для   шерстяных и полушерстяных тканей с содержанием синтетики до 60%, однотонных и с рисунком.</t>
    </r>
  </si>
  <si>
    <t>Без ЛКМ
Биозащита :7 лет/2
Огнезащита: 5лет /2 
При нанесении ЛКМ  повторная обработка не требуется</t>
  </si>
  <si>
    <r>
      <t>НОРТЕКС</t>
    </r>
    <r>
      <rPr>
        <b/>
        <vertAlign val="superscript"/>
        <sz val="20"/>
        <rFont val="Arial"/>
        <family val="2"/>
        <charset val="204"/>
      </rPr>
      <t>®</t>
    </r>
    <r>
      <rPr>
        <b/>
        <sz val="20"/>
        <rFont val="Arial"/>
        <family val="2"/>
        <charset val="204"/>
      </rPr>
      <t xml:space="preserve">-ДЕЗИНФЕКТОР для бетона
</t>
    </r>
    <r>
      <rPr>
        <sz val="20"/>
        <rFont val="Arial"/>
        <family val="2"/>
        <charset val="204"/>
      </rPr>
      <t>Антисептик для сильно пораженных плесенью, водорослями кирпичных, каменных, бетонных поверхностей.   Для внутренних и наружных работ.</t>
    </r>
  </si>
  <si>
    <r>
      <rPr>
        <b/>
        <sz val="10"/>
        <rFont val="Arial Cyr"/>
        <charset val="204"/>
      </rPr>
      <t>НОРТЕКС®-ДЕЗИНФЕКТОР для бетона</t>
    </r>
    <r>
      <rPr>
        <sz val="10"/>
        <rFont val="Arial Cyr"/>
        <charset val="204"/>
      </rPr>
      <t xml:space="preserve">
Антисептик для сильно пораженных плесенью, водорослями кирпичных, каменных, бетонных поверхностей. Для внутренних и наружных работ.</t>
    </r>
  </si>
  <si>
    <r>
      <t>НОРТЕКС</t>
    </r>
    <r>
      <rPr>
        <b/>
        <vertAlign val="superscript"/>
        <sz val="20"/>
        <rFont val="Arial"/>
        <family val="2"/>
        <charset val="204"/>
      </rPr>
      <t>®</t>
    </r>
    <r>
      <rPr>
        <b/>
        <sz val="20"/>
        <rFont val="Arial"/>
        <family val="2"/>
        <charset val="204"/>
      </rPr>
      <t xml:space="preserve">-ДЕЗИНФЕКТОР для бетона
</t>
    </r>
    <r>
      <rPr>
        <sz val="20"/>
        <rFont val="Arial"/>
        <family val="2"/>
        <charset val="204"/>
      </rPr>
      <t>Антисептик для сильно пораженных плесенью, водорослями кирпичных, каменных, бетонных поверхностей. Для внутренних и наружных работ.</t>
    </r>
  </si>
  <si>
    <t>Компонент А: 200 - 250
Компонент Б: 150 - 200</t>
  </si>
  <si>
    <t>90 кг 
("А"-ПЭТ бочка 50кг, "Б" - ПЭТ бочка 40кг)</t>
  </si>
  <si>
    <t>90-220</t>
  </si>
  <si>
    <t xml:space="preserve">Расход, мл/м2. </t>
  </si>
  <si>
    <t>Компонент А:
200-250
Компонент Б:
150-200</t>
  </si>
  <si>
    <r>
      <rPr>
        <b/>
        <sz val="10"/>
        <rFont val="Arial Cyr"/>
        <charset val="204"/>
      </rPr>
      <t>Pirilax®- Lux для древесины</t>
    </r>
    <r>
      <rPr>
        <sz val="10"/>
        <rFont val="Arial Cyr"/>
        <charset val="204"/>
      </rPr>
      <t xml:space="preserve">
Биопирен (антипирен-антисептик) для древесины. Обладает усиленными                            антисептическими свойствами. Для наружных и внутренних работ, зон риска. Эффективно уничтожает плесень, жука-древоточца, термитов. Надежно защищает от огня. Тонирует поверхность в янтарный цвет. Для жестких условий эксплуатации. </t>
    </r>
  </si>
  <si>
    <t>Без ЛКМ
Биозащита :7 лет/2 года
Огнезащита: 5лет /2 года 
При нанесении ЛКМ  повторная обработка не требуется</t>
  </si>
  <si>
    <t>Биозащита: 20/7,5 лет
Огнезащита: 16 /5 лет
Внутри парных:
Огнебиозащита 6 лет.</t>
  </si>
  <si>
    <t>10 лет и более- внутри не отапл. помещ./1 год - снаружи
10 лет и более - при условии нанесения ЛКМ,</t>
  </si>
  <si>
    <t xml:space="preserve">Фасовка                                                                    </t>
  </si>
  <si>
    <r>
      <rPr>
        <sz val="11"/>
        <rFont val="Arial Cyr"/>
        <charset val="204"/>
      </rPr>
      <t xml:space="preserve">Действует с 15.04.2014г.                                             </t>
    </r>
    <r>
      <rPr>
        <b/>
        <sz val="18"/>
        <rFont val="Arial Cyr"/>
        <charset val="204"/>
      </rPr>
      <t xml:space="preserve"> Огнебиозащитные средства и лакокрасочные материалы.</t>
    </r>
  </si>
  <si>
    <r>
      <t>НОРТОВСКИЙ</t>
    </r>
    <r>
      <rPr>
        <b/>
        <vertAlign val="superscript"/>
        <sz val="20"/>
        <rFont val="Arial Cyr"/>
        <charset val="204"/>
      </rPr>
      <t>®</t>
    </r>
    <r>
      <rPr>
        <b/>
        <vertAlign val="superscript"/>
        <sz val="20"/>
        <rFont val="Arial"/>
        <family val="2"/>
        <charset val="204"/>
      </rPr>
      <t xml:space="preserve"> </t>
    </r>
    <r>
      <rPr>
        <b/>
        <sz val="20"/>
        <rFont val="Arial"/>
        <family val="2"/>
        <charset val="204"/>
      </rPr>
      <t>ЛАК ИНТЕРЬЕРНЫЙ</t>
    </r>
    <r>
      <rPr>
        <sz val="20"/>
        <rFont val="Arial"/>
        <family val="2"/>
        <charset val="204"/>
      </rPr>
      <t xml:space="preserve">
Водно-дисперсионный акриловый лак для отделки и защиты  деревянных, каменных, кирпичных поверхностей внутри зданий и сооружений,  для поврехностей, окрашенных красками ВД или красками на органической основе. Возможно нанесение на Пирилакс с сохранением группы огнезащитной эффективности.</t>
    </r>
  </si>
  <si>
    <r>
      <t>НОРТОВСКИЙ</t>
    </r>
    <r>
      <rPr>
        <b/>
        <vertAlign val="superscript"/>
        <sz val="10"/>
        <rFont val="Arial Cyr"/>
        <charset val="204"/>
      </rPr>
      <t>®</t>
    </r>
    <r>
      <rPr>
        <b/>
        <sz val="10"/>
        <rFont val="Arial Cyr"/>
        <charset val="204"/>
      </rPr>
      <t xml:space="preserve"> ЛАК ИНТЕРЬЕРНЫЙ </t>
    </r>
    <r>
      <rPr>
        <sz val="10"/>
        <rFont val="Arial Cyr"/>
        <charset val="204"/>
      </rPr>
      <t xml:space="preserve">           
Водно-дисперсионный акриловый лак для отделки и защиты  деревянных, каменных, кирпичных поверхностей внутри зданий и сооружений,  для поврехностей, окрашенных красками ВД или красками на органической основе. Возможно нанесение на Пирилакс с сохранением группы огнезащитной эффективности.</t>
    </r>
  </si>
  <si>
    <r>
      <t>НОРТЕКС</t>
    </r>
    <r>
      <rPr>
        <b/>
        <vertAlign val="superscript"/>
        <sz val="20"/>
        <rFont val="Arial"/>
        <family val="2"/>
        <charset val="204"/>
      </rPr>
      <t>®</t>
    </r>
    <r>
      <rPr>
        <b/>
        <sz val="20"/>
        <rFont val="Arial"/>
        <family val="2"/>
        <charset val="204"/>
      </rPr>
      <t>- Х</t>
    </r>
    <r>
      <rPr>
        <b/>
        <vertAlign val="superscript"/>
        <sz val="20"/>
        <rFont val="Arial"/>
        <family val="2"/>
        <charset val="204"/>
      </rPr>
      <t>3</t>
    </r>
    <r>
      <rPr>
        <sz val="20"/>
        <rFont val="Arial"/>
        <family val="2"/>
        <charset val="204"/>
      </rPr>
      <t xml:space="preserve">
Биопирен (антипирен-антисептик)  для хлопчатобумажных, льняных и шелковых тканей с содержанием синтетики до 10%, однотонных и с рисунком, для пропитки картона и бумаги. </t>
    </r>
  </si>
  <si>
    <r>
      <t>НОРТЕКС</t>
    </r>
    <r>
      <rPr>
        <b/>
        <vertAlign val="superscript"/>
        <sz val="20"/>
        <rFont val="Arial Cyr"/>
        <charset val="204"/>
      </rPr>
      <t>®</t>
    </r>
    <r>
      <rPr>
        <b/>
        <sz val="20"/>
        <rFont val="Arial Cyr"/>
        <charset val="204"/>
      </rPr>
      <t>- С</t>
    </r>
    <r>
      <rPr>
        <b/>
        <vertAlign val="superscript"/>
        <sz val="20"/>
        <rFont val="Arial Cyr"/>
        <charset val="204"/>
      </rPr>
      <t>4</t>
    </r>
    <r>
      <rPr>
        <sz val="20"/>
        <rFont val="Arial"/>
        <family val="2"/>
        <charset val="204"/>
      </rPr>
      <t xml:space="preserve">
Биопирен (антипирен-антисептик)  для смесовых тканей (хлопок, лен-до 30%, синтетика-до 70%). Возможна обработка 100% синтетических тканей (в зависимости от вида ситнтетического волокна).</t>
    </r>
  </si>
  <si>
    <r>
      <t>НОРТЕКС</t>
    </r>
    <r>
      <rPr>
        <b/>
        <vertAlign val="superscript"/>
        <sz val="20"/>
        <rFont val="Arial"/>
        <family val="2"/>
        <charset val="204"/>
      </rPr>
      <t>®</t>
    </r>
    <r>
      <rPr>
        <b/>
        <sz val="20"/>
        <rFont val="Arial"/>
        <family val="2"/>
        <charset val="204"/>
      </rPr>
      <t>- Ш</t>
    </r>
    <r>
      <rPr>
        <b/>
        <vertAlign val="superscript"/>
        <sz val="20"/>
        <rFont val="Arial"/>
        <family val="2"/>
        <charset val="204"/>
      </rPr>
      <t>5</t>
    </r>
    <r>
      <rPr>
        <sz val="20"/>
        <rFont val="Arial"/>
        <family val="2"/>
        <charset val="204"/>
      </rPr>
      <t xml:space="preserve">
Биопирен (антипирен-антисептик) для   шерстяных и полушерстяных тканей с содержанием синтетики до 60%, однотонных и с рисунком.</t>
    </r>
  </si>
  <si>
    <r>
      <t>НОРТЕКС</t>
    </r>
    <r>
      <rPr>
        <b/>
        <vertAlign val="superscript"/>
        <sz val="20"/>
        <rFont val="Arial"/>
        <family val="2"/>
        <charset val="204"/>
      </rPr>
      <t>®</t>
    </r>
    <r>
      <rPr>
        <b/>
        <sz val="20"/>
        <rFont val="Arial"/>
        <family val="2"/>
        <charset val="204"/>
      </rPr>
      <t>- КП</t>
    </r>
    <r>
      <rPr>
        <b/>
        <vertAlign val="superscript"/>
        <sz val="20"/>
        <rFont val="Arial"/>
        <family val="2"/>
        <charset val="204"/>
      </rPr>
      <t>6</t>
    </r>
    <r>
      <rPr>
        <sz val="20"/>
        <rFont val="Arial"/>
        <family val="2"/>
        <charset val="204"/>
      </rPr>
      <t xml:space="preserve">
Биопирен (антипирен-антисептик) для синтетических (ПАН, ПА-100%) и полушерстяных (Шерсть-80%, ПА-20%) ковров и ковровых изделий.</t>
    </r>
  </si>
  <si>
    <r>
      <t>НОРТЕКС</t>
    </r>
    <r>
      <rPr>
        <b/>
        <vertAlign val="superscript"/>
        <sz val="20"/>
        <rFont val="Arial"/>
        <family val="2"/>
        <charset val="204"/>
      </rPr>
      <t>®</t>
    </r>
    <r>
      <rPr>
        <b/>
        <sz val="20"/>
        <rFont val="Arial"/>
        <family val="2"/>
        <charset val="204"/>
      </rPr>
      <t>- К</t>
    </r>
    <r>
      <rPr>
        <b/>
        <vertAlign val="superscript"/>
        <sz val="20"/>
        <rFont val="Arial"/>
        <family val="2"/>
        <charset val="204"/>
      </rPr>
      <t>7</t>
    </r>
    <r>
      <rPr>
        <sz val="20"/>
        <rFont val="Arial"/>
        <family val="2"/>
        <charset val="204"/>
      </rPr>
      <t xml:space="preserve">
Огнезащитный состав для покрытия водоизоляционного ковра из битумного кровельного материала на основе из картона, стекловолокна или полимерных волокон.</t>
    </r>
  </si>
  <si>
    <r>
      <t>ЛТСМ - 1</t>
    </r>
    <r>
      <rPr>
        <b/>
        <vertAlign val="superscript"/>
        <sz val="20"/>
        <rFont val="Arial"/>
        <family val="2"/>
        <charset val="204"/>
      </rPr>
      <t>8</t>
    </r>
    <r>
      <rPr>
        <sz val="20"/>
        <rFont val="Arial"/>
        <family val="2"/>
        <charset val="204"/>
      </rPr>
      <t xml:space="preserve">
Термоуплотнительная самоклеящаяся лента.</t>
    </r>
  </si>
  <si>
    <r>
      <t>МИГ</t>
    </r>
    <r>
      <rPr>
        <b/>
        <vertAlign val="superscript"/>
        <sz val="20"/>
        <rFont val="Arial"/>
        <family val="2"/>
        <charset val="204"/>
      </rPr>
      <t>®</t>
    </r>
    <r>
      <rPr>
        <b/>
        <sz val="20"/>
        <rFont val="Arial"/>
        <family val="2"/>
        <charset val="204"/>
      </rPr>
      <t>- 09</t>
    </r>
    <r>
      <rPr>
        <b/>
        <vertAlign val="superscript"/>
        <sz val="20"/>
        <rFont val="Arial"/>
        <family val="2"/>
        <charset val="204"/>
      </rPr>
      <t>9</t>
    </r>
    <r>
      <rPr>
        <b/>
        <sz val="20"/>
        <rFont val="Arial"/>
        <family val="2"/>
        <charset val="204"/>
      </rPr>
      <t xml:space="preserve"> для древесины
</t>
    </r>
    <r>
      <rPr>
        <sz val="20"/>
        <rFont val="Arial"/>
        <family val="2"/>
        <charset val="204"/>
      </rPr>
      <t>Биопирен (антипирен-антисептик) для чердачных помещений и стропильных систем. Сухой концентрат. Растворяется в холодной воде за 3 минуты.</t>
    </r>
  </si>
  <si>
    <r>
      <t>НОРТЕКС</t>
    </r>
    <r>
      <rPr>
        <b/>
        <vertAlign val="superscript"/>
        <sz val="20"/>
        <rFont val="Arial"/>
        <family val="2"/>
        <charset val="204"/>
      </rPr>
      <t>®</t>
    </r>
    <r>
      <rPr>
        <b/>
        <sz val="20"/>
        <rFont val="Arial"/>
        <family val="2"/>
        <charset val="204"/>
      </rPr>
      <t>-ДЕЗИНФЕКТОР</t>
    </r>
    <r>
      <rPr>
        <b/>
        <vertAlign val="superscript"/>
        <sz val="20"/>
        <rFont val="Arial"/>
        <family val="2"/>
        <charset val="204"/>
      </rPr>
      <t xml:space="preserve">2 </t>
    </r>
    <r>
      <rPr>
        <b/>
        <sz val="20"/>
        <rFont val="Arial"/>
        <family val="2"/>
        <charset val="204"/>
      </rPr>
      <t xml:space="preserve">для древесины 
</t>
    </r>
    <r>
      <rPr>
        <sz val="20"/>
        <rFont val="Arial"/>
        <family val="2"/>
        <charset val="204"/>
      </rPr>
      <t>Антисептик для сильно пораженной плесенью, жуком-древоточцем древесины. Для внутренних
 и наружных работ.</t>
    </r>
  </si>
  <si>
    <r>
      <t>НОРТЕКС</t>
    </r>
    <r>
      <rPr>
        <b/>
        <vertAlign val="superscript"/>
        <sz val="20"/>
        <rFont val="Arial"/>
        <family val="2"/>
        <charset val="204"/>
      </rPr>
      <t>®</t>
    </r>
    <r>
      <rPr>
        <b/>
        <sz val="20"/>
        <rFont val="Arial"/>
        <family val="2"/>
        <charset val="204"/>
      </rPr>
      <t>-ДОКТОР</t>
    </r>
    <r>
      <rPr>
        <b/>
        <vertAlign val="superscript"/>
        <sz val="20"/>
        <rFont val="Arial"/>
        <family val="2"/>
        <charset val="204"/>
      </rPr>
      <t>1</t>
    </r>
    <r>
      <rPr>
        <sz val="20"/>
        <rFont val="Arial"/>
        <family val="2"/>
        <charset val="204"/>
      </rPr>
      <t xml:space="preserve">
Универсальный антисептик для  здоровых и пораженных деревянных, бетонных, каменных, кирпичных поверхностей. Уничтожает плесень, жука-древоточца, препятствует появлению. Не тонирует поверхность. Рекомендуется для бань из хвойных пород, свежесрубленной древесины, срубов на выдержке. Для внутренних и наружных работ.</t>
    </r>
  </si>
  <si>
    <r>
      <t>НОРТЕКС</t>
    </r>
    <r>
      <rPr>
        <b/>
        <vertAlign val="superscript"/>
        <sz val="20"/>
        <rFont val="Arial"/>
        <family val="2"/>
        <charset val="204"/>
      </rPr>
      <t>®</t>
    </r>
    <r>
      <rPr>
        <b/>
        <sz val="20"/>
        <rFont val="Arial"/>
        <family val="2"/>
        <charset val="204"/>
      </rPr>
      <t>-ОТБЕЛИВАТЕЛЬ</t>
    </r>
    <r>
      <rPr>
        <b/>
        <vertAlign val="superscript"/>
        <sz val="20"/>
        <rFont val="Arial"/>
        <family val="2"/>
        <charset val="204"/>
      </rPr>
      <t xml:space="preserve">3 </t>
    </r>
    <r>
      <rPr>
        <b/>
        <sz val="20"/>
        <rFont val="Arial"/>
        <family val="2"/>
        <charset val="204"/>
      </rPr>
      <t xml:space="preserve">для древесины                                                                                                                                                                                                                </t>
    </r>
    <r>
      <rPr>
        <sz val="20"/>
        <rFont val="Arial"/>
        <family val="2"/>
        <charset val="204"/>
      </rPr>
      <t>Для осветления старой потемневшей древесины без следов трухлявости и поражения плесневыми грибами. Состав двухкомпонентный, поставляется в комплекте "Компонент "А"+"Компонент "Б" . Производится под заказ.</t>
    </r>
  </si>
  <si>
    <r>
      <t xml:space="preserve"> НОРТОВСКАЯ</t>
    </r>
    <r>
      <rPr>
        <b/>
        <vertAlign val="superscript"/>
        <sz val="20"/>
        <rFont val="Arial"/>
        <family val="2"/>
        <charset val="204"/>
      </rPr>
      <t xml:space="preserve">® </t>
    </r>
    <r>
      <rPr>
        <b/>
        <sz val="20"/>
        <rFont val="Arial"/>
        <family val="2"/>
        <charset val="204"/>
      </rPr>
      <t>ГРУНТОВКА-АНТИСЕПТИК</t>
    </r>
    <r>
      <rPr>
        <b/>
        <vertAlign val="superscript"/>
        <sz val="20"/>
        <rFont val="Arial"/>
        <family val="2"/>
        <charset val="204"/>
      </rPr>
      <t>4</t>
    </r>
    <r>
      <rPr>
        <b/>
        <sz val="20"/>
        <rFont val="Arial"/>
        <family val="2"/>
        <charset val="204"/>
      </rPr>
      <t xml:space="preserve">
 </t>
    </r>
    <r>
      <rPr>
        <sz val="20"/>
        <rFont val="Arial"/>
        <family val="2"/>
        <charset val="204"/>
      </rPr>
      <t>Универсальная акриловая грунтовка для деревянных, каменных, бетонных, кирпичных, оштукатуренных поверхностей, гипсокартона. Обладает антисептическими свойствами. Для наружных и внутренних работ.</t>
    </r>
  </si>
  <si>
    <r>
      <t>НОРТОВСКАЯ</t>
    </r>
    <r>
      <rPr>
        <b/>
        <vertAlign val="superscript"/>
        <sz val="20"/>
        <rFont val="Arial Cyr"/>
        <charset val="204"/>
      </rPr>
      <t>®</t>
    </r>
    <r>
      <rPr>
        <b/>
        <sz val="20"/>
        <rFont val="Arial"/>
        <family val="2"/>
        <charset val="204"/>
      </rPr>
      <t xml:space="preserve"> КРАСКА ИНТЕРЬЕРНАЯ</t>
    </r>
    <r>
      <rPr>
        <b/>
        <vertAlign val="superscript"/>
        <sz val="20"/>
        <rFont val="Arial"/>
        <family val="2"/>
        <charset val="204"/>
      </rPr>
      <t>5</t>
    </r>
    <r>
      <rPr>
        <b/>
        <sz val="20"/>
        <rFont val="Arial"/>
        <family val="2"/>
        <charset val="204"/>
      </rPr>
      <t>(белоснежная)</t>
    </r>
    <r>
      <rPr>
        <sz val="20"/>
        <rFont val="Arial"/>
        <family val="2"/>
        <charset val="204"/>
      </rPr>
      <t xml:space="preserve"> 
Водно-дисперсионная акриловая пожаробезопасная  краска для отделки и защиты деревянных, бетонных, каменных, кирпичных поверхностей внутри зданий и сооружений, для поврехностей, окрашенных красками ВД или красками на органической основе.
Соответствует показателям </t>
    </r>
    <r>
      <rPr>
        <b/>
        <sz val="20"/>
        <rFont val="Arial"/>
        <family val="2"/>
        <charset val="204"/>
      </rPr>
      <t>Г1, РП1, В1, Д1, Т1 (класс пожарной опасности КМ1)</t>
    </r>
  </si>
  <si>
    <r>
      <rPr>
        <b/>
        <sz val="10"/>
        <rFont val="Arial Cyr"/>
        <charset val="204"/>
      </rPr>
      <t>НОРТЕКС®-ОТБЕЛИВАТЕЛЬ для древесины.</t>
    </r>
    <r>
      <rPr>
        <sz val="10"/>
        <rFont val="Arial Cyr"/>
        <charset val="204"/>
      </rPr>
      <t xml:space="preserve">  Для осветления старой потемневшей древесины без следов трухлявости и поражения плесневыми грибами. Состав двухкомпонентный, поставляется в комплекте "Компонент "А"+"Компонент "Б" . Производится под заказ.</t>
    </r>
  </si>
  <si>
    <r>
      <rPr>
        <b/>
        <sz val="10"/>
        <rFont val="Arial Cyr"/>
        <charset val="204"/>
      </rPr>
      <t>МИГ®- 09 для древесины</t>
    </r>
    <r>
      <rPr>
        <sz val="10"/>
        <rFont val="Arial Cyr"/>
        <charset val="204"/>
      </rPr>
      <t xml:space="preserve">
Биопирен (антипирен-антисептик) для чердачных помещений и стропильных систем. Сухой концентрат. Растворяется в холодной воде за 3 минуты.</t>
    </r>
  </si>
  <si>
    <r>
      <rPr>
        <b/>
        <sz val="10"/>
        <rFont val="Arial Cyr"/>
        <charset val="204"/>
      </rPr>
      <t>ОЗОН®-007 для древесины</t>
    </r>
    <r>
      <rPr>
        <sz val="10"/>
        <rFont val="Arial Cyr"/>
        <charset val="204"/>
      </rPr>
      <t xml:space="preserve">
Биопирен (антипирен-антисептик) для чердачных помещений, стропильных систем и скрытых конструкций. 
Наносится без межслойной сушки за 1 прием.
Не тонирует древесину. Состав можно колеровать для придания декоративных свойств поверхности и/или контроля за равномерностью нанесения состава.</t>
    </r>
  </si>
  <si>
    <r>
      <t xml:space="preserve"> </t>
    </r>
    <r>
      <rPr>
        <b/>
        <sz val="10"/>
        <rFont val="Arial Cyr"/>
        <charset val="204"/>
      </rPr>
      <t>НОРТОВСКАЯ® ГРУНТОВКА-АНТИСЕПТИК</t>
    </r>
    <r>
      <rPr>
        <sz val="10"/>
        <rFont val="Arial Cyr"/>
        <charset val="204"/>
      </rPr>
      <t xml:space="preserve">
 Универсальная акриловая грунтовка для деревянных, каменных, бетонных, кирпичных, оштукатуренных поверхностей, гипсокартона. Обладает антисептическими свойствами. Для наружных и внутренних работ.</t>
    </r>
  </si>
  <si>
    <r>
      <t>НОРТЕКС</t>
    </r>
    <r>
      <rPr>
        <b/>
        <vertAlign val="superscript"/>
        <sz val="20"/>
        <rFont val="Arial"/>
        <family val="2"/>
        <charset val="204"/>
      </rPr>
      <t>®</t>
    </r>
    <r>
      <rPr>
        <b/>
        <sz val="20"/>
        <rFont val="Arial"/>
        <family val="2"/>
        <charset val="204"/>
      </rPr>
      <t>-Х</t>
    </r>
    <r>
      <rPr>
        <b/>
        <vertAlign val="superscript"/>
        <sz val="20"/>
        <rFont val="Arial"/>
        <family val="2"/>
        <charset val="204"/>
      </rPr>
      <t>3</t>
    </r>
    <r>
      <rPr>
        <sz val="20"/>
        <rFont val="Arial"/>
        <family val="2"/>
        <charset val="204"/>
      </rPr>
      <t xml:space="preserve">
Биопирен (антипирен-антисептик) для хлопчатобумажных, льняных и шелковых тканей с содержанием синтетики до 10%, однотонных и с рисунком, для пропитки картона и бумаги. </t>
    </r>
  </si>
  <si>
    <r>
      <t>НОРТЕКС</t>
    </r>
    <r>
      <rPr>
        <b/>
        <vertAlign val="superscript"/>
        <sz val="20"/>
        <rFont val="Arial Cyr"/>
        <charset val="204"/>
      </rPr>
      <t>®</t>
    </r>
    <r>
      <rPr>
        <b/>
        <sz val="20"/>
        <rFont val="Arial Cyr"/>
        <charset val="204"/>
      </rPr>
      <t>-С</t>
    </r>
    <r>
      <rPr>
        <b/>
        <vertAlign val="superscript"/>
        <sz val="20"/>
        <rFont val="Arial Cyr"/>
        <charset val="204"/>
      </rPr>
      <t>4</t>
    </r>
    <r>
      <rPr>
        <sz val="20"/>
        <rFont val="Arial"/>
        <family val="2"/>
        <charset val="204"/>
      </rPr>
      <t xml:space="preserve">
Биопирен (антипирен-антисептик)  для смесовых тканей (хлопок, лен-до 30%, синтетика-до 70%). Возможна обработка 100% синтетических тканей (в зависимости от вида ситнтетического волокна).</t>
    </r>
  </si>
  <si>
    <r>
      <t>НОРТЕКС®-Ш</t>
    </r>
    <r>
      <rPr>
        <b/>
        <vertAlign val="superscript"/>
        <sz val="20"/>
        <rFont val="Arial"/>
        <family val="2"/>
        <charset val="204"/>
      </rPr>
      <t>5</t>
    </r>
    <r>
      <rPr>
        <b/>
        <sz val="20"/>
        <rFont val="Arial"/>
        <family val="2"/>
        <charset val="204"/>
      </rPr>
      <t xml:space="preserve">
</t>
    </r>
    <r>
      <rPr>
        <sz val="20"/>
        <rFont val="Arial"/>
        <family val="2"/>
        <charset val="204"/>
      </rPr>
      <t>Биопирен (антипирен-антисептик)  для шерстяных и полушерстяных тканей с содержанием синтетики до 60%, однотонных и с рисунком.</t>
    </r>
  </si>
  <si>
    <r>
      <t>НОРТЕКС</t>
    </r>
    <r>
      <rPr>
        <b/>
        <vertAlign val="superscript"/>
        <sz val="20"/>
        <rFont val="Arial"/>
        <family val="2"/>
        <charset val="204"/>
      </rPr>
      <t>®</t>
    </r>
    <r>
      <rPr>
        <b/>
        <sz val="20"/>
        <rFont val="Arial"/>
        <family val="2"/>
        <charset val="204"/>
      </rPr>
      <t>-КП</t>
    </r>
    <r>
      <rPr>
        <b/>
        <vertAlign val="superscript"/>
        <sz val="20"/>
        <rFont val="Arial"/>
        <family val="2"/>
        <charset val="204"/>
      </rPr>
      <t>6</t>
    </r>
    <r>
      <rPr>
        <sz val="20"/>
        <rFont val="Arial"/>
        <family val="2"/>
        <charset val="204"/>
      </rPr>
      <t xml:space="preserve">
Биопирен (антипирен-антисептик) для синтетических (ПАН, ПА-100%) и полушерстяных (Шерсть-80%, ПА-20%) ковров и ковровых изделий.</t>
    </r>
  </si>
  <si>
    <t>7 - ЛТСМ-1 Таблица ГЭСН 15-07-001, ТЭСН 15-07-001</t>
  </si>
  <si>
    <t>8-МИГ-09 Таблица ТЭСН 26-02-028</t>
  </si>
  <si>
    <r>
      <t>ЛТСМ-1</t>
    </r>
    <r>
      <rPr>
        <b/>
        <vertAlign val="superscript"/>
        <sz val="20"/>
        <rFont val="Arial"/>
        <family val="2"/>
        <charset val="204"/>
      </rPr>
      <t>7</t>
    </r>
    <r>
      <rPr>
        <sz val="20"/>
        <rFont val="Arial"/>
        <family val="2"/>
        <charset val="204"/>
      </rPr>
      <t xml:space="preserve">
Термоуплотнительная самоклеящаяся лента.</t>
    </r>
  </si>
  <si>
    <r>
      <t>МИГ</t>
    </r>
    <r>
      <rPr>
        <b/>
        <vertAlign val="superscript"/>
        <sz val="20"/>
        <rFont val="Arial"/>
        <family val="2"/>
        <charset val="204"/>
      </rPr>
      <t>®</t>
    </r>
    <r>
      <rPr>
        <b/>
        <sz val="20"/>
        <rFont val="Arial"/>
        <family val="2"/>
        <charset val="204"/>
      </rPr>
      <t>-09</t>
    </r>
    <r>
      <rPr>
        <b/>
        <vertAlign val="superscript"/>
        <sz val="20"/>
        <rFont val="Arial"/>
        <family val="2"/>
        <charset val="204"/>
      </rPr>
      <t>8</t>
    </r>
    <r>
      <rPr>
        <b/>
        <sz val="20"/>
        <rFont val="Arial"/>
        <family val="2"/>
        <charset val="204"/>
      </rPr>
      <t xml:space="preserve"> для древесины
</t>
    </r>
    <r>
      <rPr>
        <sz val="20"/>
        <rFont val="Arial"/>
        <family val="2"/>
        <charset val="204"/>
      </rPr>
      <t>Биопирен (антипирен-антисептик) для чердачных помещений и стропильных систем. Сухой концентрат. Растворяется в холодной воде за 3 минуты.</t>
    </r>
  </si>
  <si>
    <r>
      <t>НОРТЕКС</t>
    </r>
    <r>
      <rPr>
        <b/>
        <vertAlign val="superscript"/>
        <sz val="20"/>
        <rFont val="Arial"/>
        <family val="2"/>
        <charset val="204"/>
      </rPr>
      <t>®</t>
    </r>
    <r>
      <rPr>
        <b/>
        <sz val="20"/>
        <rFont val="Arial"/>
        <family val="2"/>
        <charset val="204"/>
      </rPr>
      <t>-ДЕЗИНФЕКТОР</t>
    </r>
    <r>
      <rPr>
        <b/>
        <vertAlign val="superscript"/>
        <sz val="20"/>
        <rFont val="Arial"/>
        <family val="2"/>
        <charset val="204"/>
      </rPr>
      <t>2</t>
    </r>
    <r>
      <rPr>
        <b/>
        <sz val="20"/>
        <rFont val="Arial"/>
        <family val="2"/>
        <charset val="204"/>
      </rPr>
      <t xml:space="preserve"> для древесины 
</t>
    </r>
    <r>
      <rPr>
        <sz val="20"/>
        <rFont val="Arial"/>
        <family val="2"/>
        <charset val="204"/>
      </rPr>
      <t>Антисептик для сильно пораженной плесенью, жуком-древоточцем древесины. Для внутренних и наружных работ.</t>
    </r>
  </si>
  <si>
    <r>
      <t>НОРТЕКС</t>
    </r>
    <r>
      <rPr>
        <b/>
        <vertAlign val="superscript"/>
        <sz val="20"/>
        <rFont val="Arial"/>
        <family val="2"/>
        <charset val="204"/>
      </rPr>
      <t>®</t>
    </r>
    <r>
      <rPr>
        <b/>
        <sz val="20"/>
        <rFont val="Arial"/>
        <family val="2"/>
        <charset val="204"/>
      </rPr>
      <t>-ОТБЕЛИВАТЕЛЬ</t>
    </r>
    <r>
      <rPr>
        <b/>
        <vertAlign val="superscript"/>
        <sz val="20"/>
        <rFont val="Arial"/>
        <family val="2"/>
        <charset val="204"/>
      </rPr>
      <t>3</t>
    </r>
    <r>
      <rPr>
        <b/>
        <sz val="20"/>
        <rFont val="Arial"/>
        <family val="2"/>
        <charset val="204"/>
      </rPr>
      <t xml:space="preserve"> для древесины                                                                                                                                                                                                                </t>
    </r>
    <r>
      <rPr>
        <sz val="20"/>
        <rFont val="Arial"/>
        <family val="2"/>
        <charset val="204"/>
      </rPr>
      <t>Для осветления старой потемневшей древесины без следов трухлявости и поражения плесневыми грибами. Состав двухкомпонентный, поставляется в комплекте "Компонент "А"+"Компонент "Б" . Производится под заказ.</t>
    </r>
  </si>
  <si>
    <r>
      <t>НОРТОВСКАЯ</t>
    </r>
    <r>
      <rPr>
        <b/>
        <vertAlign val="superscript"/>
        <sz val="20"/>
        <rFont val="Arial"/>
        <family val="2"/>
        <charset val="204"/>
      </rPr>
      <t>®</t>
    </r>
    <r>
      <rPr>
        <b/>
        <sz val="20"/>
        <rFont val="Arial"/>
        <family val="2"/>
        <charset val="204"/>
      </rPr>
      <t xml:space="preserve"> КРАСКА ИНТЕРЬЕРНАЯ</t>
    </r>
    <r>
      <rPr>
        <b/>
        <vertAlign val="superscript"/>
        <sz val="20"/>
        <rFont val="Arial"/>
        <family val="2"/>
        <charset val="204"/>
      </rPr>
      <t>5</t>
    </r>
    <r>
      <rPr>
        <b/>
        <sz val="20"/>
        <rFont val="Arial"/>
        <family val="2"/>
        <charset val="204"/>
      </rPr>
      <t xml:space="preserve"> (белоснежная) 
</t>
    </r>
    <r>
      <rPr>
        <sz val="20"/>
        <rFont val="Arial"/>
        <family val="2"/>
        <charset val="204"/>
      </rPr>
      <t>Водно-дисперсионная акриловая пожаробезопасная  краска для отделки и защиты деревянных, бетонных, каменных, кирпичных поверхностей внутри зданий и сооружений, для поврехностей, окрашенных красками ВД или красками на органической основе.</t>
    </r>
  </si>
  <si>
    <r>
      <t>Pirilax</t>
    </r>
    <r>
      <rPr>
        <b/>
        <vertAlign val="superscript"/>
        <sz val="10"/>
        <rFont val="Arial Cyr"/>
        <charset val="204"/>
      </rPr>
      <t>®</t>
    </r>
    <r>
      <rPr>
        <b/>
        <sz val="10"/>
        <rFont val="Arial Cyr"/>
        <family val="2"/>
        <charset val="204"/>
      </rPr>
      <t xml:space="preserve"> - Terma  для древесины 
</t>
    </r>
    <r>
      <rPr>
        <sz val="10"/>
        <rFont val="Arial Cyr"/>
        <family val="2"/>
        <charset val="204"/>
      </rPr>
      <t>Огнезащитная пропитка-антисептик для древесины. Для бань и саун внутри (из хвойных пород древесины) и снаружи (из любых пород древесины). Надежная защита от огня, плесени,  жука-древоточца. Тонирует поверхность в янтарный цвет. Рекомендуется применять внутри помещений с составом "Krasula для бань и саун", снаружи - с составом для защиты и тонирования древесины "Krasula".</t>
    </r>
  </si>
  <si>
    <r>
      <t>НОРТОВСКИЙ</t>
    </r>
    <r>
      <rPr>
        <b/>
        <vertAlign val="superscript"/>
        <sz val="20"/>
        <rFont val="Arial Cyr"/>
        <charset val="204"/>
      </rPr>
      <t>®</t>
    </r>
    <r>
      <rPr>
        <b/>
        <vertAlign val="superscript"/>
        <sz val="20"/>
        <rFont val="Arial"/>
        <family val="2"/>
        <charset val="204"/>
      </rPr>
      <t xml:space="preserve"> </t>
    </r>
    <r>
      <rPr>
        <b/>
        <sz val="20"/>
        <rFont val="Arial"/>
        <family val="2"/>
        <charset val="204"/>
      </rPr>
      <t>ЛАК ИНТЕРЬЕРНЫЙ</t>
    </r>
    <r>
      <rPr>
        <sz val="20"/>
        <rFont val="Arial"/>
        <family val="2"/>
        <charset val="204"/>
      </rPr>
      <t xml:space="preserve">
Водно-дисперсионный акриловый лак для отделки и защиты деревянных, каменных, кирпичных поверхностей внутри зданий и сооружений,  для поверхностей, окрашенных красками ВД или красками на органической основе. Возможно нанесение на Пирилакс с сохранением группы огнезащитной эффективности.</t>
    </r>
  </si>
  <si>
    <r>
      <t>НОРТОВСКИЙ</t>
    </r>
    <r>
      <rPr>
        <b/>
        <vertAlign val="superscript"/>
        <sz val="10"/>
        <rFont val="Arial Cyr"/>
        <charset val="204"/>
      </rPr>
      <t>®</t>
    </r>
    <r>
      <rPr>
        <b/>
        <sz val="10"/>
        <rFont val="Arial Cyr"/>
        <charset val="204"/>
      </rPr>
      <t xml:space="preserve"> ЛАК ИНТЕРЬЕРНЫЙ </t>
    </r>
    <r>
      <rPr>
        <sz val="10"/>
        <rFont val="Arial Cyr"/>
        <charset val="204"/>
      </rPr>
      <t xml:space="preserve">           
Водно-дисперсионный акриловый лак для отделки и защиты деревянных, каменных, кирпичных поверхностей внутри зданий и сооружений,  для поврехностей, окрашенных красками ВД или красками на органической основе. Возможно нанесение на Пирилакс с сохранением группы огнезащитной эффективности.</t>
    </r>
  </si>
  <si>
    <r>
      <rPr>
        <b/>
        <sz val="10"/>
        <rFont val="Arial Cyr"/>
        <charset val="204"/>
      </rPr>
      <t>НОРТОВСКИЙ® ЛАК ИНТЕРЬЕРНЫЙ</t>
    </r>
    <r>
      <rPr>
        <sz val="10"/>
        <rFont val="Arial Cyr"/>
        <charset val="204"/>
      </rPr>
      <t xml:space="preserve">
Водно-дисперсионный акриловый лак для отделки и защиты деревянных, каменных, кирпичных поверхностей внутри зданий и сооружений,  для поврехностей, окрашенных красками ВД или красками на органической основе. Возможно нанесение на Пирилакс с сохранением группы огнезащитной эффективности.</t>
    </r>
  </si>
  <si>
    <t>Тара</t>
  </si>
  <si>
    <t>Бочка</t>
  </si>
  <si>
    <t>Ведро</t>
  </si>
  <si>
    <t>Стоимость состава для обработки 1 кв.м. с учётм НДС, руб.</t>
  </si>
  <si>
    <t>I группа ГОСТ Р 53292</t>
  </si>
  <si>
    <t>II группа ГОСТ Р 53292</t>
  </si>
  <si>
    <t>Г1, РП1, В1, Д2, Т2
ФЗ-123
КМ1</t>
  </si>
  <si>
    <t>I группа
ГОСТ Р 53292</t>
  </si>
  <si>
    <t>II группа
ГОСТ Р 53292</t>
  </si>
  <si>
    <t>200
+
Krasula 150</t>
  </si>
  <si>
    <t>Биозащита: 20/7,5 лет
Огнезащита: 16 /5 лет
Внутри парных:
Огнебиозащита 6 лет</t>
  </si>
  <si>
    <t>Огнезащита:
11 лет;
Скрытые полости:
30 лет</t>
  </si>
  <si>
    <t>Срок службы покрытия 
внутри/снаружи</t>
  </si>
  <si>
    <t>Стоимость уплотнения одностворчатой двери в 1 слой 396</t>
  </si>
  <si>
    <t>Стоимость состава для обработки 1 кв.м.
 с учётм НДС, руб.</t>
  </si>
  <si>
    <t>Комплект (А+Б) 38,33</t>
  </si>
  <si>
    <t>Стоимость состава для обработки 1 кв.м.</t>
  </si>
  <si>
    <t>Площать покрытия в один слой содержимым одной банки, кв.м</t>
  </si>
  <si>
    <t>Мешок</t>
  </si>
  <si>
    <t>9,5 кг</t>
  </si>
  <si>
    <t>43 кг.</t>
  </si>
  <si>
    <t>Рулон 6,6 м.</t>
  </si>
  <si>
    <t>Бутылка</t>
  </si>
  <si>
    <t>Компо-нент А:
200-250
Компо-нент Б:
150-200</t>
  </si>
  <si>
    <t>Банка</t>
  </si>
  <si>
    <r>
      <rPr>
        <b/>
        <sz val="15"/>
        <rFont val="Arial Cyr"/>
        <charset val="204"/>
      </rPr>
      <t>ЛТСМ - 19</t>
    </r>
    <r>
      <rPr>
        <sz val="15"/>
        <rFont val="Arial Cyr"/>
        <charset val="204"/>
      </rPr>
      <t xml:space="preserve">
Термоуплотнительная самоклеящаяся лента.</t>
    </r>
  </si>
  <si>
    <r>
      <rPr>
        <sz val="16"/>
        <rFont val="Arial Cyr"/>
        <charset val="204"/>
      </rPr>
      <t xml:space="preserve">Действует с 5.05.2014г. </t>
    </r>
    <r>
      <rPr>
        <sz val="11"/>
        <rFont val="Arial Cyr"/>
        <charset val="204"/>
      </rPr>
      <t xml:space="preserve">                                                                                                                                                                       </t>
    </r>
    <r>
      <rPr>
        <b/>
        <sz val="18"/>
        <rFont val="Arial Cyr"/>
        <charset val="204"/>
      </rPr>
      <t xml:space="preserve"> Огнебиозащитные средства и лакокрасочные материалы.</t>
    </r>
  </si>
  <si>
    <t>3-4 месяца
 1 кг. сост./20 кг. воды</t>
  </si>
  <si>
    <t>6 месяцев
 1 кг. сост./15 кг. воды</t>
  </si>
  <si>
    <t>1-1,5 года
 1 кг. сост./10 кг. воды</t>
  </si>
  <si>
    <t>3-4 месяца
  1 кг. сост./20 кг. воды</t>
  </si>
  <si>
    <t>Цена расфасован-ной продукции опт. (руб.), в т.ч. тара и НДС 18%</t>
  </si>
  <si>
    <r>
      <rPr>
        <b/>
        <sz val="15"/>
        <rFont val="Arial Cyr"/>
        <charset val="204"/>
      </rPr>
      <t>Pirilax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 xml:space="preserve"> - Prime для древесины</t>
    </r>
    <r>
      <rPr>
        <sz val="15"/>
        <rFont val="Arial Cyr"/>
        <charset val="204"/>
      </rPr>
      <t xml:space="preserve"> 
Антисептик с огнезащитным эффектом (биопирен) для наружных и внутренних работ. Для предварительной обработки конструкций перед нанесением ЛКМ. Идеально совместим с составом для защиты и тонирования  древесины "Krasula". Не тонирует повехность.</t>
    </r>
  </si>
  <si>
    <r>
      <rPr>
        <b/>
        <sz val="15"/>
        <rFont val="Arial Cyr"/>
        <charset val="204"/>
      </rPr>
      <t>Pirilax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 xml:space="preserve"> - Terma  для древесины </t>
    </r>
    <r>
      <rPr>
        <sz val="15"/>
        <rFont val="Arial Cyr"/>
        <charset val="204"/>
      </rPr>
      <t xml:space="preserve">            
Огнезащитная пропитка-антисептик (биопирен) для древесины. Для бань и саун внутри (из хвойных пород древесины) и снаружи (из любых пород древесины). Надежная защита от огня, плесени,  жука-древоточца. Тонирует поверхность в янтарный цвет. Рекомендуется применять внутри помещений с составом "Krasula для бань и саун", снаружи - с составом для защиты и тонирования древесины "Krasula".</t>
    </r>
  </si>
  <si>
    <r>
      <rPr>
        <b/>
        <sz val="15"/>
        <rFont val="Arial Cyr"/>
        <charset val="204"/>
      </rPr>
      <t>Pirilax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 xml:space="preserve">- Classic   для древесины  </t>
    </r>
    <r>
      <rPr>
        <sz val="15"/>
        <rFont val="Arial Cyr"/>
        <charset val="204"/>
      </rPr>
      <t xml:space="preserve">      
Огнезащитная пропитка-антисептик (биопирен) для древесины.  Для наружных и внутренних работ, зон риска. Надежная защита от огня, плесени, жука-древоточца. Тонирует поверхность в янтарный цвет.</t>
    </r>
  </si>
  <si>
    <r>
      <rPr>
        <b/>
        <sz val="15"/>
        <rFont val="Arial Cyr"/>
        <charset val="204"/>
      </rPr>
      <t>Pirilax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>- Lux для древесины</t>
    </r>
    <r>
      <rPr>
        <sz val="15"/>
        <rFont val="Arial Cyr"/>
        <charset val="204"/>
      </rPr>
      <t xml:space="preserve">
Огнезащитная пропитка-антисептик (биопирен) для древесины.  
Обладает усиленными   антисептическими свойствами. 
Для наружных и внутренних работ, зон риска. Эффективно уничтожает плесень, жука-древоточца, термитов. Надежно защищает от огня. Тонирует поверхность в янтарный цвет. Для жестких условий эксплуатации. </t>
    </r>
  </si>
  <si>
    <r>
      <rPr>
        <b/>
        <sz val="15"/>
        <rFont val="Arial Cyr"/>
        <charset val="204"/>
      </rPr>
      <t>НОРТЕКС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>- К</t>
    </r>
    <r>
      <rPr>
        <sz val="15"/>
        <rFont val="Arial Cyr"/>
        <charset val="204"/>
      </rPr>
      <t xml:space="preserve">
Огнезащитный состав для покрытия водоизоляционного ковра из битумного кровельного материала на основе из картона, стекловолокна или полимерных волокон.</t>
    </r>
  </si>
  <si>
    <r>
      <t>НОРТЕКС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 xml:space="preserve">-ДОКТОР </t>
    </r>
    <r>
      <rPr>
        <sz val="15"/>
        <rFont val="Arial Cyr"/>
        <charset val="204"/>
      </rPr>
      <t>для древесины
Антисептическая пропитка для защиты здоровой и лечения пораженной древесины от плесени, жука-древоточца. Не тонирует древесину. Для наружных и внутренних работ.</t>
    </r>
  </si>
  <si>
    <r>
      <rPr>
        <b/>
        <sz val="15"/>
        <rFont val="Arial Cyr"/>
        <charset val="204"/>
      </rPr>
      <t>НОРТЕКС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>-ДОКТОР для бетона</t>
    </r>
    <r>
      <rPr>
        <sz val="15"/>
        <rFont val="Arial Cyr"/>
        <charset val="204"/>
      </rPr>
      <t xml:space="preserve">
Антисептическая пропитка для защиты здоровых и лечения пораженных бетона, камня, кирпича от плесени, водорослей. Для наружных и внутренних работ.</t>
    </r>
  </si>
  <si>
    <r>
      <rPr>
        <b/>
        <sz val="15"/>
        <rFont val="Arial Cyr"/>
        <charset val="204"/>
      </rPr>
      <t>НОРТЕКС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 xml:space="preserve">-ДЕЗИНФЕКТОР для древесины </t>
    </r>
    <r>
      <rPr>
        <sz val="15"/>
        <rFont val="Arial Cyr"/>
        <charset val="204"/>
      </rPr>
      <t xml:space="preserve">
Антисептическая пропитка  для сильно пораженной плесенью, жуком-древоточцем древесины. Для внутренних и наружных работ.</t>
    </r>
  </si>
  <si>
    <r>
      <rPr>
        <b/>
        <sz val="15"/>
        <rFont val="Arial Cyr"/>
        <charset val="204"/>
      </rPr>
      <t>НОРТЕКС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>-ДЕЗИНФЕКТОР для бетона</t>
    </r>
    <r>
      <rPr>
        <sz val="15"/>
        <rFont val="Arial Cyr"/>
        <charset val="204"/>
      </rPr>
      <t xml:space="preserve">
Антисептическая пропитка для сильно пораженных плесенью, водорослями кирпичных, каменных, бетонных поверхностей. Для внутренних и наружных работ.</t>
    </r>
  </si>
  <si>
    <r>
      <rPr>
        <b/>
        <sz val="15"/>
        <rFont val="Arial Cyr"/>
        <charset val="204"/>
      </rPr>
      <t>НОРТЕКС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>-ОТБЕЛИВАТЕЛЬ для древесины.</t>
    </r>
    <r>
      <rPr>
        <sz val="15"/>
        <rFont val="Arial Cyr"/>
        <charset val="204"/>
      </rPr>
      <t xml:space="preserve">  Для осветления старой потемневшей древесины без следов трухлявости и поражения плесневыми грибами. Состав двухкомпонентный, поставляется в комплекте "Компонент "А"+"Компонент "Б" . Производится под заказ.</t>
    </r>
  </si>
  <si>
    <r>
      <rPr>
        <b/>
        <sz val="15"/>
        <rFont val="Arial Cyr"/>
        <charset val="204"/>
      </rPr>
      <t>KRASULA</t>
    </r>
    <r>
      <rPr>
        <b/>
        <vertAlign val="superscript"/>
        <sz val="15"/>
        <rFont val="Arial Cyr"/>
        <charset val="204"/>
      </rPr>
      <t>®</t>
    </r>
    <r>
      <rPr>
        <sz val="15"/>
        <rFont val="Arial Cyr"/>
        <charset val="204"/>
      </rPr>
      <t xml:space="preserve">
Состав для защиты и тонирования древесины. 
Защищает от УФ-лучей, атмосферных осадков, плесени,
 старения, жуков-древоточцев. Возможно нанесение на свежеспиленную древесину с влажностью до 65%. 10 вариантов цветов. Для наружных и внутренних работ. Идеален для финишного покрытия после обработки Pirilax® - Prime.</t>
    </r>
  </si>
  <si>
    <r>
      <rPr>
        <b/>
        <sz val="15"/>
        <rFont val="Arial Cyr"/>
        <charset val="204"/>
      </rPr>
      <t>KRASULA</t>
    </r>
    <r>
      <rPr>
        <b/>
        <vertAlign val="superscript"/>
        <sz val="15"/>
        <rFont val="Arial Cyr"/>
        <charset val="204"/>
      </rPr>
      <t xml:space="preserve">® </t>
    </r>
    <r>
      <rPr>
        <b/>
        <sz val="15"/>
        <rFont val="Arial Cyr"/>
        <charset val="204"/>
      </rPr>
      <t>для бань и саун</t>
    </r>
    <r>
      <rPr>
        <sz val="15"/>
        <rFont val="Arial Cyr"/>
        <charset val="204"/>
      </rPr>
      <t xml:space="preserve">
Защитный состав для древесины внутри бань и саун.
 Водно-дисперсионный, с натуральным воском. 
Защищает от воды, грязи, плесени, жука-древоточца, препятствует потемнению древесины. Образует бесцветное дышащее водоотталкивающее покрытие. Рекомендуется использовать как финишное покрытие внутри бань и саун после обработки Pirilax® - Terma.</t>
    </r>
  </si>
  <si>
    <r>
      <t xml:space="preserve"> </t>
    </r>
    <r>
      <rPr>
        <b/>
        <sz val="15"/>
        <rFont val="Arial Cyr"/>
        <charset val="204"/>
      </rPr>
      <t>НОРТОВСКАЯ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 xml:space="preserve"> ГРУНТОВКА-АНТИСЕПТИК</t>
    </r>
    <r>
      <rPr>
        <sz val="15"/>
        <rFont val="Arial Cyr"/>
        <charset val="204"/>
      </rPr>
      <t xml:space="preserve">
 Универсальная акриловая грунтовка для деревянных, каменных, бетонных, кирпичных, оштукатуренных поверхностей, гипсокартона. Обладает антисептическими свойствами. Для наружных и внутренних работ.</t>
    </r>
  </si>
  <si>
    <r>
      <rPr>
        <b/>
        <sz val="15"/>
        <rFont val="Arial Cyr"/>
        <charset val="204"/>
      </rPr>
      <t>НОРТОВСКАЯ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 xml:space="preserve"> КРАСКА ИНТЕРЬЕРНАЯ</t>
    </r>
    <r>
      <rPr>
        <sz val="15"/>
        <rFont val="Arial Cyr"/>
        <charset val="204"/>
      </rPr>
      <t xml:space="preserve"> (белоснежная) 
Водно-дисперсионная акриловая пожаробезопасная  краска для отделки и защиты деревянных, бетонных, каменных, кирпичных поверхностей внутри зданий и сооружений, для поврехностей, окрашенных красками ВД или красками на органической основе.Соответствует показателям Г1, РП1, В1, Д1, Т1 (класс пожарной опасности КМ1)</t>
    </r>
  </si>
  <si>
    <r>
      <rPr>
        <b/>
        <sz val="15"/>
        <rFont val="Arial Cyr"/>
        <charset val="204"/>
      </rPr>
      <t>НОРТОВСКИЙ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 xml:space="preserve"> ЛАК ИНТЕРЬЕРНЫЙ</t>
    </r>
    <r>
      <rPr>
        <sz val="15"/>
        <rFont val="Arial Cyr"/>
        <charset val="204"/>
      </rPr>
      <t xml:space="preserve">
Водно-дисперсионный акриловый лак для отделки и защиты деревянных, каменных, кирпичных поверхностей внутри зданий и сооружений,  для поврехностей, окрашенных красками ВД или красками на органической основе. Возможно нанесение на Пирилакс с сохранением группы огнезащитной эффективности.</t>
    </r>
  </si>
  <si>
    <t>Без ЛКМ
Биозащита:7 лет/2 года
Огнезащита: 5 лет /2 года 
При нанесении ЛКМ  повторная обработка не требуется</t>
  </si>
  <si>
    <r>
      <rPr>
        <b/>
        <sz val="15"/>
        <rFont val="Arial Cyr"/>
        <charset val="204"/>
      </rPr>
      <t>МИГ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>- 09 для древесины</t>
    </r>
    <r>
      <rPr>
        <sz val="15"/>
        <rFont val="Arial Cyr"/>
        <charset val="204"/>
      </rPr>
      <t xml:space="preserve">
Огнезащитная пропитка-антисептик (биопирен) для чердачных помещений и стропильных систем. Сухой концентрат. Растворяется в холодной воде за 3 минуты.</t>
    </r>
  </si>
  <si>
    <r>
      <rPr>
        <b/>
        <sz val="15"/>
        <rFont val="Arial Cyr"/>
        <charset val="204"/>
      </rPr>
      <t>ОЗОН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>-007 для древесины</t>
    </r>
    <r>
      <rPr>
        <sz val="15"/>
        <rFont val="Arial Cyr"/>
        <charset val="204"/>
      </rPr>
      <t xml:space="preserve">
Огнезащитная пропитка-антисептик (биопирен) для чердачных помещений, стропильных систем и скрытых конструкций. 
Наносится без межслойной сушки за 1 прием.
Не тонирует древесину. Состав можно колеровать для придания декоративных свойств поверхности и/или контроля за равномерностью нанесения состава.</t>
    </r>
  </si>
  <si>
    <r>
      <rPr>
        <b/>
        <sz val="15"/>
        <rFont val="Arial Cyr"/>
        <charset val="204"/>
      </rPr>
      <t>НОРТЕКС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>- Х</t>
    </r>
    <r>
      <rPr>
        <sz val="15"/>
        <rFont val="Arial Cyr"/>
        <charset val="204"/>
      </rPr>
      <t xml:space="preserve">
Огнезащитная пропитка-антисептик (биопирен) для хлопчатобумажных, льняных и шелковых тканей с содержанием синтетики до 10%, однотонных и с рисунком, для пропитки картона и бумаги. </t>
    </r>
  </si>
  <si>
    <r>
      <rPr>
        <b/>
        <sz val="15"/>
        <rFont val="Arial Cyr"/>
        <charset val="204"/>
      </rPr>
      <t>НОРТЕКС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>- С</t>
    </r>
    <r>
      <rPr>
        <sz val="15"/>
        <rFont val="Arial Cyr"/>
        <charset val="204"/>
      </rPr>
      <t xml:space="preserve">
Огнезащитная пропитка-антисептик (биопирен) для смесовых тканей (хлопок, лен-до 30%, синтетика-до 70%). Возможна обработка 100% синтетических тканей (в зависимости от вида ситнтетического волокна).</t>
    </r>
  </si>
  <si>
    <r>
      <rPr>
        <b/>
        <sz val="15"/>
        <rFont val="Arial Cyr"/>
        <charset val="204"/>
      </rPr>
      <t>НОРТЕКС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>- Ш</t>
    </r>
    <r>
      <rPr>
        <sz val="15"/>
        <rFont val="Arial Cyr"/>
        <charset val="204"/>
      </rPr>
      <t xml:space="preserve">
Огнезащитная пропитка-антисептик (биопирен)  для   шерстяных и полушерстяных тканей с содержанием синтетики до 60%, однотонных и с рисунком.</t>
    </r>
  </si>
  <si>
    <r>
      <rPr>
        <b/>
        <sz val="15"/>
        <rFont val="Arial Cyr"/>
        <charset val="204"/>
      </rPr>
      <t>НОРТЕКС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>- КП</t>
    </r>
    <r>
      <rPr>
        <sz val="15"/>
        <rFont val="Arial Cyr"/>
        <charset val="204"/>
      </rPr>
      <t xml:space="preserve">
Огнезащитная пропитка-антисептик (биопирен) для синтетических (ПАН, ПА-100%) и полушерстяных (Шерсть-80%, ПА-20%) ковров и ковровых изделий.</t>
    </r>
  </si>
  <si>
    <t xml:space="preserve">103
   1 л. концен-трата/3 л. воды </t>
  </si>
  <si>
    <t xml:space="preserve">69
   1 л. концен-трата/3 л. воды </t>
  </si>
  <si>
    <t>10 лет и более - внутри неотапл. помещ./1 год - снаружи
10 лет и более - при условии нанесения ЛКМ,</t>
  </si>
  <si>
    <t>ЕЦП опт, руб. (15%</t>
  </si>
  <si>
    <r>
      <rPr>
        <b/>
        <sz val="15"/>
        <rFont val="Arial Cyr"/>
        <charset val="204"/>
      </rPr>
      <t>НОРТЕКС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 xml:space="preserve">-ТРАНЗИТ для древесины.
</t>
    </r>
    <r>
      <rPr>
        <sz val="15"/>
        <rFont val="Arial Cyr"/>
        <charset val="204"/>
      </rPr>
      <t xml:space="preserve">Антисептическая пропитка  для кратковременной защиты
 древесины от плесени, жука-древоточца. Для обработки
 строительных материалов, свежесрубленной древесины
 с любой влажностью на период транспортировки, хранения, естественной сушки до времени её обработки защитно-декоративными материалами. Для срубов на выдержке.
</t>
    </r>
  </si>
  <si>
    <t>Оптовый прайс.</t>
  </si>
  <si>
    <r>
      <rPr>
        <sz val="16"/>
        <rFont val="Arial Cyr"/>
        <charset val="204"/>
      </rPr>
      <t xml:space="preserve">Действует с 5.05.2014г. </t>
    </r>
    <r>
      <rPr>
        <sz val="11"/>
        <rFont val="Arial Cyr"/>
        <charset val="204"/>
      </rPr>
      <t xml:space="preserve">     </t>
    </r>
    <r>
      <rPr>
        <b/>
        <sz val="18"/>
        <rFont val="Arial Cyr"/>
        <charset val="204"/>
      </rPr>
      <t xml:space="preserve"> Огнебиозащитные средства и лакокрасочные материалы.</t>
    </r>
  </si>
  <si>
    <r>
      <rPr>
        <b/>
        <sz val="15"/>
        <rFont val="Arial Cyr"/>
        <charset val="204"/>
      </rPr>
      <t>KRASULA</t>
    </r>
    <r>
      <rPr>
        <b/>
        <vertAlign val="superscript"/>
        <sz val="15"/>
        <rFont val="Arial Cyr"/>
        <charset val="204"/>
      </rPr>
      <t xml:space="preserve">® </t>
    </r>
    <r>
      <rPr>
        <b/>
        <sz val="15"/>
        <rFont val="Arial Cyr"/>
        <charset val="204"/>
      </rPr>
      <t>для бань и саун</t>
    </r>
    <r>
      <rPr>
        <sz val="15"/>
        <rFont val="Arial Cyr"/>
        <charset val="204"/>
      </rPr>
      <t xml:space="preserve">
Защитный состав для древесины внутри бань и саун.
 Водно-дисперсионный, с натуральным воском. Защищает от воды, грязи, плесени, жука-древоточца, препятствует потемнению древесины. Образует бесцветное дышащее водоотталкивающее покрытие. Рекомендуется использовать как финишное покрытие внутри бань и саун после обработки Pirilax® - Terma.</t>
    </r>
  </si>
  <si>
    <r>
      <rPr>
        <b/>
        <sz val="15"/>
        <rFont val="Arial Cyr"/>
        <charset val="204"/>
      </rPr>
      <t>KRASULA</t>
    </r>
    <r>
      <rPr>
        <b/>
        <vertAlign val="superscript"/>
        <sz val="15"/>
        <rFont val="Arial Cyr"/>
        <charset val="204"/>
      </rPr>
      <t>®</t>
    </r>
    <r>
      <rPr>
        <sz val="15"/>
        <rFont val="Arial Cyr"/>
        <charset val="204"/>
      </rPr>
      <t xml:space="preserve">
Состав для защиты и тонирования древесины. 
Защищает от УФ-лучей, атмосферных осадков, плесени, старения, жуков-древоточцев. Возможно нанесение на свежеспиленную древесину с влажностью до 65%. 10 вариантов цветов. Для наружных и внутренних работ. Идеален для финишного покрытия после обработки Pirilax® - Prime.</t>
    </r>
  </si>
  <si>
    <r>
      <rPr>
        <b/>
        <sz val="16"/>
        <rFont val="Arial Cyr"/>
        <charset val="204"/>
      </rPr>
      <t>Pirilax</t>
    </r>
    <r>
      <rPr>
        <b/>
        <vertAlign val="superscript"/>
        <sz val="16"/>
        <rFont val="Arial Cyr"/>
        <charset val="204"/>
      </rPr>
      <t>®</t>
    </r>
    <r>
      <rPr>
        <b/>
        <sz val="16"/>
        <rFont val="Arial Cyr"/>
        <charset val="204"/>
      </rPr>
      <t xml:space="preserve"> - Terma  для древесины </t>
    </r>
    <r>
      <rPr>
        <sz val="16"/>
        <rFont val="Arial Cyr"/>
        <charset val="204"/>
      </rPr>
      <t xml:space="preserve">            
Огнезащитная пропитка-антисептик (биопирен) для древесины. Для бань и саун внутри (из хвойных пород древесины) и снаружи (из любых пород древесины). Надежная защита от огня, плесени,  жука-древоточца. Тонирует поверхность в янтарный цвет. Рекомендуется применять внутри помещений с составом "Krasula для бань и саун", снаружи - с составом для защиты и тонирования древесины "Krasula".</t>
    </r>
  </si>
  <si>
    <r>
      <rPr>
        <b/>
        <sz val="16"/>
        <rFont val="Arial Cyr"/>
        <charset val="204"/>
      </rPr>
      <t>Pirilax</t>
    </r>
    <r>
      <rPr>
        <b/>
        <vertAlign val="superscript"/>
        <sz val="16"/>
        <rFont val="Arial Cyr"/>
        <charset val="204"/>
      </rPr>
      <t>®</t>
    </r>
    <r>
      <rPr>
        <b/>
        <sz val="16"/>
        <rFont val="Arial Cyr"/>
        <charset val="204"/>
      </rPr>
      <t xml:space="preserve">- Classic   для древесины  </t>
    </r>
    <r>
      <rPr>
        <sz val="16"/>
        <rFont val="Arial Cyr"/>
        <charset val="204"/>
      </rPr>
      <t xml:space="preserve">      
Огнезащитная пропитка-антисептик (биопирен) для древесины.  Для наружных и внутренних работ, зон риска. Надежная защита от огня, плесени, жука-древоточца. Тонирует поверхность в янтарный цвет.</t>
    </r>
  </si>
  <si>
    <r>
      <rPr>
        <b/>
        <sz val="16"/>
        <rFont val="Arial Cyr"/>
        <charset val="204"/>
      </rPr>
      <t>Pirilax</t>
    </r>
    <r>
      <rPr>
        <b/>
        <vertAlign val="superscript"/>
        <sz val="16"/>
        <rFont val="Arial Cyr"/>
        <charset val="204"/>
      </rPr>
      <t>®</t>
    </r>
    <r>
      <rPr>
        <b/>
        <sz val="16"/>
        <rFont val="Arial Cyr"/>
        <charset val="204"/>
      </rPr>
      <t>- Lux для древесины</t>
    </r>
    <r>
      <rPr>
        <sz val="16"/>
        <rFont val="Arial Cyr"/>
        <charset val="204"/>
      </rPr>
      <t xml:space="preserve">
Огнезащитная пропитка-антисептик (биопирен) для древесины.  
Обладает усиленными   антисептическими свойствами. 
Для наружных и внутренних работ, зон риска. Эффективно уничтожает плесень, жука-древоточца, термитов. Надежно защищает от огня. Тонирует поверхность в янтарный цвет. Для жестких условий эксплуатации. </t>
    </r>
  </si>
  <si>
    <r>
      <rPr>
        <b/>
        <sz val="16"/>
        <rFont val="Arial Cyr"/>
        <charset val="204"/>
      </rPr>
      <t>МИГ</t>
    </r>
    <r>
      <rPr>
        <b/>
        <vertAlign val="superscript"/>
        <sz val="16"/>
        <rFont val="Arial Cyr"/>
        <charset val="204"/>
      </rPr>
      <t>®</t>
    </r>
    <r>
      <rPr>
        <b/>
        <sz val="16"/>
        <rFont val="Arial Cyr"/>
        <charset val="204"/>
      </rPr>
      <t>- 09 для древесины</t>
    </r>
    <r>
      <rPr>
        <sz val="16"/>
        <rFont val="Arial Cyr"/>
        <charset val="204"/>
      </rPr>
      <t xml:space="preserve">
Огнезащитная пропитка-антисептик (биопирен) для чердачных помещений и стропильных систем. Сухой концентрат. Растворяется в холодной воде за 3 минуты.</t>
    </r>
  </si>
  <si>
    <r>
      <rPr>
        <b/>
        <sz val="16"/>
        <rFont val="Arial Cyr"/>
        <charset val="204"/>
      </rPr>
      <t>ОЗОН</t>
    </r>
    <r>
      <rPr>
        <b/>
        <vertAlign val="superscript"/>
        <sz val="16"/>
        <rFont val="Arial Cyr"/>
        <charset val="204"/>
      </rPr>
      <t>®</t>
    </r>
    <r>
      <rPr>
        <b/>
        <sz val="16"/>
        <rFont val="Arial Cyr"/>
        <charset val="204"/>
      </rPr>
      <t>-007 для древесины</t>
    </r>
    <r>
      <rPr>
        <sz val="16"/>
        <rFont val="Arial Cyr"/>
        <charset val="204"/>
      </rPr>
      <t xml:space="preserve">
Огнезащитная пропитка-антисептик (биопирен) для чердачных помещений, стропильных систем и скрытых конструкций. 
Наносится без межслойной сушки за 1 прием.
Не тонирует древесину. Состав можно колеровать для придания декоративных свойств поверхности и/или контроля за равномерностью нанесения состава.</t>
    </r>
  </si>
  <si>
    <r>
      <rPr>
        <b/>
        <sz val="16"/>
        <rFont val="Arial Cyr"/>
        <charset val="204"/>
      </rPr>
      <t>НОРТЕКС</t>
    </r>
    <r>
      <rPr>
        <b/>
        <vertAlign val="superscript"/>
        <sz val="16"/>
        <rFont val="Arial Cyr"/>
        <charset val="204"/>
      </rPr>
      <t>®</t>
    </r>
    <r>
      <rPr>
        <b/>
        <sz val="16"/>
        <rFont val="Arial Cyr"/>
        <charset val="204"/>
      </rPr>
      <t>- Х</t>
    </r>
    <r>
      <rPr>
        <sz val="16"/>
        <rFont val="Arial Cyr"/>
        <charset val="204"/>
      </rPr>
      <t xml:space="preserve">
Огнезащитная пропитка-антисептик (биопирен) для хлопчатобумажных, льняных и шелковых тканей с содержанием синтетики до 10%, однотонных и с рисунком, для пропитки картона и бумаги. </t>
    </r>
  </si>
  <si>
    <r>
      <rPr>
        <b/>
        <sz val="16"/>
        <rFont val="Arial Cyr"/>
        <charset val="204"/>
      </rPr>
      <t>НОРТЕКС</t>
    </r>
    <r>
      <rPr>
        <b/>
        <vertAlign val="superscript"/>
        <sz val="16"/>
        <rFont val="Arial Cyr"/>
        <charset val="204"/>
      </rPr>
      <t>®</t>
    </r>
    <r>
      <rPr>
        <b/>
        <sz val="16"/>
        <rFont val="Arial Cyr"/>
        <charset val="204"/>
      </rPr>
      <t>- С</t>
    </r>
    <r>
      <rPr>
        <sz val="16"/>
        <rFont val="Arial Cyr"/>
        <charset val="204"/>
      </rPr>
      <t xml:space="preserve">
Огнезащитная пропитка-антисептик (биопирен) для смесовых тканей (хлопок, лен-до 30%, синтетика-до 70%). Возможна обработка 100% синтетических тканей (в зависимости от вида ситнтетического волокна).</t>
    </r>
  </si>
  <si>
    <r>
      <rPr>
        <b/>
        <sz val="16"/>
        <rFont val="Arial Cyr"/>
        <charset val="204"/>
      </rPr>
      <t>НОРТЕКС</t>
    </r>
    <r>
      <rPr>
        <b/>
        <vertAlign val="superscript"/>
        <sz val="16"/>
        <rFont val="Arial Cyr"/>
        <charset val="204"/>
      </rPr>
      <t>®</t>
    </r>
    <r>
      <rPr>
        <b/>
        <sz val="16"/>
        <rFont val="Arial Cyr"/>
        <charset val="204"/>
      </rPr>
      <t>- Ш</t>
    </r>
    <r>
      <rPr>
        <sz val="16"/>
        <rFont val="Arial Cyr"/>
        <charset val="204"/>
      </rPr>
      <t xml:space="preserve">
Огнезащитная пропитка-антисептик (биопирен)  для   шерстяных и полушерстяных тканей с содержанием синтетики до 60%, однотонных и с рисунком.</t>
    </r>
  </si>
  <si>
    <r>
      <rPr>
        <b/>
        <sz val="16"/>
        <rFont val="Arial Cyr"/>
        <charset val="204"/>
      </rPr>
      <t>НОРТЕКС</t>
    </r>
    <r>
      <rPr>
        <b/>
        <vertAlign val="superscript"/>
        <sz val="16"/>
        <rFont val="Arial Cyr"/>
        <charset val="204"/>
      </rPr>
      <t>®</t>
    </r>
    <r>
      <rPr>
        <b/>
        <sz val="16"/>
        <rFont val="Arial Cyr"/>
        <charset val="204"/>
      </rPr>
      <t>- КП</t>
    </r>
    <r>
      <rPr>
        <sz val="16"/>
        <rFont val="Arial Cyr"/>
        <charset val="204"/>
      </rPr>
      <t xml:space="preserve">
Огнезащитная пропитка-антисептик (биопирен) для синтетических (ПАН, ПА-100%) и полушерстяных (Шерсть-80%, ПА-20%) ковров и ковровых изделий.</t>
    </r>
  </si>
  <si>
    <r>
      <rPr>
        <b/>
        <sz val="16"/>
        <rFont val="Arial Cyr"/>
        <charset val="204"/>
      </rPr>
      <t>НОРТЕКС</t>
    </r>
    <r>
      <rPr>
        <b/>
        <vertAlign val="superscript"/>
        <sz val="16"/>
        <rFont val="Arial Cyr"/>
        <charset val="204"/>
      </rPr>
      <t>®</t>
    </r>
    <r>
      <rPr>
        <b/>
        <sz val="16"/>
        <rFont val="Arial Cyr"/>
        <charset val="204"/>
      </rPr>
      <t>- К</t>
    </r>
    <r>
      <rPr>
        <sz val="16"/>
        <rFont val="Arial Cyr"/>
        <charset val="204"/>
      </rPr>
      <t xml:space="preserve">
Огнезащитный состав для покрытия водоизоляционного ковра из битумного кровельного материала на основе из картона, стекловолокна или полимерных волокон.</t>
    </r>
  </si>
  <si>
    <r>
      <rPr>
        <b/>
        <sz val="16"/>
        <rFont val="Arial Cyr"/>
        <charset val="204"/>
      </rPr>
      <t>НОРТЕКС</t>
    </r>
    <r>
      <rPr>
        <b/>
        <vertAlign val="superscript"/>
        <sz val="16"/>
        <rFont val="Arial Cyr"/>
        <charset val="204"/>
      </rPr>
      <t>®</t>
    </r>
    <r>
      <rPr>
        <b/>
        <sz val="16"/>
        <rFont val="Arial Cyr"/>
        <charset val="204"/>
      </rPr>
      <t>-ОТБЕЛИВАТЕЛЬ для древесины.</t>
    </r>
    <r>
      <rPr>
        <sz val="16"/>
        <rFont val="Arial Cyr"/>
        <charset val="204"/>
      </rPr>
      <t xml:space="preserve">  Для осветления старой потемневшей древесины без следов трухлявости и поражения плесневыми грибами. Состав двухкомпонентный, поставляется в комплекте "Компонент "А"+"Компонент "Б" . Производится под заказ.</t>
    </r>
  </si>
  <si>
    <t>10 лет и более - внутри неотапл. помещ./1 год - снаружи
10 лет и более - при условии нанесения ЛКМ.</t>
  </si>
  <si>
    <t>Стоимость состава для обработки 1 кв.м. с учётом НДС, руб.</t>
  </si>
  <si>
    <r>
      <rPr>
        <sz val="16"/>
        <rFont val="Arial Cyr"/>
        <charset val="204"/>
      </rPr>
      <t xml:space="preserve">Действует с 15.05.2014г. </t>
    </r>
    <r>
      <rPr>
        <sz val="11"/>
        <rFont val="Arial Cyr"/>
        <charset val="204"/>
      </rPr>
      <t xml:space="preserve">                                                                                                                                                            </t>
    </r>
    <r>
      <rPr>
        <b/>
        <sz val="18"/>
        <rFont val="Arial Cyr"/>
        <charset val="204"/>
      </rPr>
      <t>Огнебиозащитные средства и лакокрасочные материалы.</t>
    </r>
  </si>
  <si>
    <r>
      <rPr>
        <b/>
        <sz val="16"/>
        <rFont val="Arial Cyr"/>
        <charset val="204"/>
      </rPr>
      <t>KRASULA</t>
    </r>
    <r>
      <rPr>
        <b/>
        <vertAlign val="superscript"/>
        <sz val="16"/>
        <rFont val="Arial Cyr"/>
        <charset val="204"/>
      </rPr>
      <t>®</t>
    </r>
    <r>
      <rPr>
        <sz val="16"/>
        <rFont val="Arial Cyr"/>
        <charset val="204"/>
      </rPr>
      <t xml:space="preserve">
Состав для защиты и тонирования древесины. 
Защищает от УФ-лучей, атмосферных осадков, плесени, старения, жуков-древоточцев. Возможно нанесение на свежеспиленную древесину с влажностью до 65%. 10 вариантов цветов. Для наружных и внутренних работ. Идеален для финишного покрытия после обработки Pirilax® - Prime.</t>
    </r>
  </si>
  <si>
    <r>
      <rPr>
        <b/>
        <sz val="16"/>
        <rFont val="Arial Cyr"/>
        <charset val="204"/>
      </rPr>
      <t>KRASULA</t>
    </r>
    <r>
      <rPr>
        <b/>
        <vertAlign val="superscript"/>
        <sz val="16"/>
        <rFont val="Arial Cyr"/>
        <charset val="204"/>
      </rPr>
      <t xml:space="preserve">® </t>
    </r>
    <r>
      <rPr>
        <b/>
        <sz val="16"/>
        <rFont val="Arial Cyr"/>
        <charset val="204"/>
      </rPr>
      <t>для бань и саун</t>
    </r>
    <r>
      <rPr>
        <sz val="16"/>
        <rFont val="Arial Cyr"/>
        <charset val="204"/>
      </rPr>
      <t xml:space="preserve">
Защитный состав для древесины внутри бань и саун.
 Водно-дисперсионный, с натуральным воском. Защищает от воды, грязи, плесени, жука-древоточца, препятствует потемнению древесины. Образует бесцветное дышащее водоотталкивающее покрытие. Рекомендуется использовать как финишное покрытие внутри бань и саун после обработки Pirilax® - Terma.</t>
    </r>
  </si>
  <si>
    <r>
      <t xml:space="preserve"> </t>
    </r>
    <r>
      <rPr>
        <b/>
        <sz val="16"/>
        <rFont val="Arial Cyr"/>
        <charset val="204"/>
      </rPr>
      <t>НОРТОВСКАЯ</t>
    </r>
    <r>
      <rPr>
        <b/>
        <vertAlign val="superscript"/>
        <sz val="16"/>
        <rFont val="Arial Cyr"/>
        <charset val="204"/>
      </rPr>
      <t>®</t>
    </r>
    <r>
      <rPr>
        <b/>
        <sz val="16"/>
        <rFont val="Arial Cyr"/>
        <charset val="204"/>
      </rPr>
      <t xml:space="preserve"> ГРУНТОВКА-АНТИСЕПТИК</t>
    </r>
    <r>
      <rPr>
        <sz val="16"/>
        <rFont val="Arial Cyr"/>
        <charset val="204"/>
      </rPr>
      <t xml:space="preserve">
 Универсальная акриловая грунтовка для деревянных, каменных, бетонных, кирпичных, оштукатуренных поверхностей, гипсокартона. Обладает антисептическими свойствами. Для наружных и внутренних работ.</t>
    </r>
  </si>
  <si>
    <t>21 кг.</t>
  </si>
  <si>
    <r>
      <rPr>
        <sz val="16"/>
        <rFont val="Arial Cyr"/>
        <charset val="204"/>
      </rPr>
      <t xml:space="preserve">Действует с 15.05.2014г. </t>
    </r>
    <r>
      <rPr>
        <sz val="11"/>
        <rFont val="Arial Cyr"/>
        <charset val="204"/>
      </rPr>
      <t xml:space="preserve">                                                                                                                                                                                </t>
    </r>
    <r>
      <rPr>
        <b/>
        <sz val="18"/>
        <rFont val="Arial Cyr"/>
        <charset val="204"/>
      </rPr>
      <t xml:space="preserve"> Огнебиозащитные средства и лакокрасочные материалы.</t>
    </r>
  </si>
  <si>
    <t xml:space="preserve">5 г. конц./80 г. гот. р-ра </t>
  </si>
  <si>
    <t xml:space="preserve">3,8 г. конц./80 г. гот. р-ра </t>
  </si>
  <si>
    <t xml:space="preserve">7,3 г. конц./80 г. гот. р-ра </t>
  </si>
  <si>
    <r>
      <rPr>
        <b/>
        <sz val="15"/>
        <rFont val="Arial Cyr"/>
        <charset val="204"/>
      </rPr>
      <t>ЛТСМ - 1</t>
    </r>
    <r>
      <rPr>
        <sz val="15"/>
        <rFont val="Arial Cyr"/>
        <charset val="204"/>
      </rPr>
      <t xml:space="preserve">
Термоуплотнительная самоклеящаяся лента.</t>
    </r>
  </si>
  <si>
    <r>
      <rPr>
        <b/>
        <sz val="16"/>
        <rFont val="Arial Cyr"/>
        <charset val="204"/>
      </rPr>
      <t>ЛТСМ - 1</t>
    </r>
    <r>
      <rPr>
        <sz val="16"/>
        <rFont val="Arial Cyr"/>
        <charset val="204"/>
      </rPr>
      <t xml:space="preserve">
Термоуплотнительная самоклеящаяся лента.</t>
    </r>
  </si>
  <si>
    <t>Бочка ПЭТ</t>
  </si>
  <si>
    <t>Ведро  ПЭТ</t>
  </si>
  <si>
    <t>Бутылка ПЭТ</t>
  </si>
  <si>
    <t>Ведро жест.</t>
  </si>
  <si>
    <t>Банка жест.</t>
  </si>
  <si>
    <t>Банка жест</t>
  </si>
  <si>
    <r>
      <rPr>
        <b/>
        <sz val="15"/>
        <rFont val="Arial Cyr"/>
        <charset val="204"/>
      </rPr>
      <t>Pirilax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 xml:space="preserve"> - Prime для древесины</t>
    </r>
    <r>
      <rPr>
        <sz val="15"/>
        <rFont val="Arial Cyr"/>
        <charset val="204"/>
      </rPr>
      <t xml:space="preserve"> 
Антисептик с огнезащитным эффектом (биопирен) для наружных и внутренних работ. Для предварительной обработки конструкций перед нанесением ЛКМ. Идеально совместим с составом для защиты и тонирования  древесины "Krasula". Не тонирует поверхность.</t>
    </r>
  </si>
  <si>
    <r>
      <t>НОРТЕКС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>-ДОКТОР для древесины</t>
    </r>
    <r>
      <rPr>
        <sz val="15"/>
        <rFont val="Arial Cyr"/>
        <charset val="204"/>
      </rPr>
      <t xml:space="preserve">
Антисептическая пропитка для защиты здоровой и лечения пораженной древесины от плесени, жука-древоточца. Не тонирует древесину. Для наружных и внутренних работ.  Не тонирует поверхность.</t>
    </r>
  </si>
  <si>
    <r>
      <rPr>
        <b/>
        <sz val="15"/>
        <rFont val="Arial Cyr"/>
        <charset val="204"/>
      </rPr>
      <t>НОРТЕКС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>-ДОКТОР для бетона</t>
    </r>
    <r>
      <rPr>
        <sz val="15"/>
        <rFont val="Arial Cyr"/>
        <charset val="204"/>
      </rPr>
      <t xml:space="preserve">
Антисептическая пропитка для защиты здоровых и лечения пораженных бетона, камня, кирпича от плесени, водорослей. Для наружных и внутренних работ.  Не тонирует поверхность.</t>
    </r>
  </si>
  <si>
    <r>
      <rPr>
        <b/>
        <sz val="15"/>
        <rFont val="Arial Cyr"/>
        <charset val="204"/>
      </rPr>
      <t>НОРТЕКС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 xml:space="preserve">-ДЕЗИНФЕКТОР для древесины </t>
    </r>
    <r>
      <rPr>
        <sz val="15"/>
        <rFont val="Arial Cyr"/>
        <charset val="204"/>
      </rPr>
      <t xml:space="preserve">
Антисептическая пропитка  для сильно пораженной плесенью, жуком-древоточцем древесины. Для внутренних и наружных работ.Не тонирует поверхность.</t>
    </r>
  </si>
  <si>
    <r>
      <rPr>
        <b/>
        <sz val="15"/>
        <rFont val="Arial Cyr"/>
        <charset val="204"/>
      </rPr>
      <t>НОРТЕКС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>-ДЕЗИНФЕКТОР для бетона</t>
    </r>
    <r>
      <rPr>
        <sz val="15"/>
        <rFont val="Arial Cyr"/>
        <charset val="204"/>
      </rPr>
      <t xml:space="preserve">
Антисептическая пропитка для сильно пораженных плесенью, водорослями кирпичных, каменных, бетонных поверхностей. Для внутренних и наружных работ. Не тонирует поверхность.</t>
    </r>
  </si>
  <si>
    <r>
      <rPr>
        <b/>
        <sz val="15"/>
        <rFont val="Arial Cyr"/>
        <charset val="204"/>
      </rPr>
      <t>НОРТЕКС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 xml:space="preserve">-ТРАНЗИТ концентрат для древесины.
</t>
    </r>
    <r>
      <rPr>
        <sz val="15"/>
        <rFont val="Arial Cyr"/>
        <charset val="204"/>
      </rPr>
      <t xml:space="preserve">Антисептическая пропитка  для кратковременной защиты древесины 
от плесени, жука-древоточца. Для обработки строительных материалов, свежесрубленной древесины с любой влажностью на период транспортировки, хранения, естественной сушки до времени её обработки защитно-декоративными материалами. Для срубов на выдержке. Не тонирует поверхность.
</t>
    </r>
  </si>
  <si>
    <r>
      <rPr>
        <b/>
        <sz val="16"/>
        <rFont val="Arial Cyr"/>
        <charset val="204"/>
      </rPr>
      <t>Pirilax</t>
    </r>
    <r>
      <rPr>
        <b/>
        <vertAlign val="superscript"/>
        <sz val="16"/>
        <rFont val="Arial Cyr"/>
        <charset val="204"/>
      </rPr>
      <t>®</t>
    </r>
    <r>
      <rPr>
        <b/>
        <sz val="16"/>
        <rFont val="Arial Cyr"/>
        <charset val="204"/>
      </rPr>
      <t xml:space="preserve"> - Prime для древесины</t>
    </r>
    <r>
      <rPr>
        <sz val="16"/>
        <rFont val="Arial Cyr"/>
        <charset val="204"/>
      </rPr>
      <t xml:space="preserve"> 
Антисептик с огнезащитным эффектом (биопирен) для наружных и внутренних работ. Для предварительной обработки конструкций перед нанесением ЛКМ. Идеально совместим с составом для защиты и тонирования  древесины "Krasula".Не тонирует поверхность.</t>
    </r>
  </si>
  <si>
    <r>
      <t>НОРТЕКС</t>
    </r>
    <r>
      <rPr>
        <b/>
        <vertAlign val="superscript"/>
        <sz val="16"/>
        <rFont val="Arial Cyr"/>
        <charset val="204"/>
      </rPr>
      <t>®</t>
    </r>
    <r>
      <rPr>
        <b/>
        <sz val="16"/>
        <rFont val="Arial Cyr"/>
        <charset val="204"/>
      </rPr>
      <t>-ДОКТОР для древесины</t>
    </r>
    <r>
      <rPr>
        <sz val="16"/>
        <rFont val="Arial Cyr"/>
        <charset val="204"/>
      </rPr>
      <t xml:space="preserve">
Антисептическая пропитка для защиты здоровой и лечения пораженной древесины от плесени, жука-древоточца. Не тонирует древесину. Для наружных и внутренних работ. Не тонирует поверхность.</t>
    </r>
  </si>
  <si>
    <r>
      <rPr>
        <b/>
        <sz val="16"/>
        <rFont val="Arial Cyr"/>
        <charset val="204"/>
      </rPr>
      <t>НОРТЕКС</t>
    </r>
    <r>
      <rPr>
        <b/>
        <vertAlign val="superscript"/>
        <sz val="16"/>
        <rFont val="Arial Cyr"/>
        <charset val="204"/>
      </rPr>
      <t>®</t>
    </r>
    <r>
      <rPr>
        <b/>
        <sz val="16"/>
        <rFont val="Arial Cyr"/>
        <charset val="204"/>
      </rPr>
      <t>-ДОКТОР для бетона</t>
    </r>
    <r>
      <rPr>
        <sz val="16"/>
        <rFont val="Arial Cyr"/>
        <charset val="204"/>
      </rPr>
      <t xml:space="preserve">
Антисептическая пропитка для защиты здоровых и лечения пораженных бетона, камня, кирпича от плесени, водорослей. Для наружных и внутренних работ.  Не тонирует поверхность.</t>
    </r>
  </si>
  <si>
    <r>
      <rPr>
        <b/>
        <sz val="16"/>
        <rFont val="Arial Cyr"/>
        <charset val="204"/>
      </rPr>
      <t>НОРТЕКС</t>
    </r>
    <r>
      <rPr>
        <b/>
        <vertAlign val="superscript"/>
        <sz val="16"/>
        <rFont val="Arial Cyr"/>
        <charset val="204"/>
      </rPr>
      <t>®</t>
    </r>
    <r>
      <rPr>
        <b/>
        <sz val="16"/>
        <rFont val="Arial Cyr"/>
        <charset val="204"/>
      </rPr>
      <t xml:space="preserve">-ДЕЗИНФЕКТОР для древесины </t>
    </r>
    <r>
      <rPr>
        <sz val="16"/>
        <rFont val="Arial Cyr"/>
        <charset val="204"/>
      </rPr>
      <t xml:space="preserve">
Антисептическая пропитка  для сильно пораженной плесенью, жуком-древоточцем древесины. Для внутренних и наружных работ.Не тонирует поверхность.</t>
    </r>
  </si>
  <si>
    <r>
      <rPr>
        <b/>
        <sz val="16"/>
        <rFont val="Arial Cyr"/>
        <charset val="204"/>
      </rPr>
      <t>НОРТЕКС</t>
    </r>
    <r>
      <rPr>
        <b/>
        <vertAlign val="superscript"/>
        <sz val="16"/>
        <rFont val="Arial Cyr"/>
        <charset val="204"/>
      </rPr>
      <t>®</t>
    </r>
    <r>
      <rPr>
        <b/>
        <sz val="16"/>
        <rFont val="Arial Cyr"/>
        <charset val="204"/>
      </rPr>
      <t>-ДЕЗИНФЕКТОР для бетона</t>
    </r>
    <r>
      <rPr>
        <sz val="16"/>
        <rFont val="Arial Cyr"/>
        <charset val="204"/>
      </rPr>
      <t xml:space="preserve">
Антисептическая пропитка для сильно пораженных плесенью, водорослями кирпичных, каменных, бетонных поверхностей. Для внутренних и наружных работ. Не тонирует поверхность.</t>
    </r>
  </si>
  <si>
    <r>
      <rPr>
        <b/>
        <sz val="16"/>
        <rFont val="Arial Cyr"/>
        <charset val="204"/>
      </rPr>
      <t>НОРТЕКС</t>
    </r>
    <r>
      <rPr>
        <b/>
        <vertAlign val="superscript"/>
        <sz val="16"/>
        <rFont val="Arial Cyr"/>
        <charset val="204"/>
      </rPr>
      <t>®</t>
    </r>
    <r>
      <rPr>
        <b/>
        <sz val="16"/>
        <rFont val="Arial Cyr"/>
        <charset val="204"/>
      </rPr>
      <t xml:space="preserve">-ТРАНЗИТ концентрат для древесины.
</t>
    </r>
    <r>
      <rPr>
        <sz val="16"/>
        <rFont val="Arial Cyr"/>
        <charset val="204"/>
      </rPr>
      <t xml:space="preserve">Антисептическая пропитка  для кратковременной защиты древесины 
от плесени, жука-древоточца. Для обработки строительных материалов, свежесрубленной древесины с любой влажностью на период транспортировки, хранения, естественной сушки до времени её обработки защитно-декоративными материалами. Для срубов на выдержке. Не тонирует поверхность.
</t>
    </r>
  </si>
  <si>
    <r>
      <rPr>
        <b/>
        <sz val="16"/>
        <rFont val="Arial Cyr"/>
        <charset val="204"/>
      </rPr>
      <t>НОРТОВСКАЯ</t>
    </r>
    <r>
      <rPr>
        <b/>
        <vertAlign val="superscript"/>
        <sz val="16"/>
        <rFont val="Arial Cyr"/>
        <charset val="204"/>
      </rPr>
      <t>®</t>
    </r>
    <r>
      <rPr>
        <b/>
        <sz val="16"/>
        <rFont val="Arial Cyr"/>
        <charset val="204"/>
      </rPr>
      <t xml:space="preserve"> КРАСКА ИНТЕРЬЕРНАЯ</t>
    </r>
    <r>
      <rPr>
        <sz val="16"/>
        <rFont val="Arial Cyr"/>
        <charset val="204"/>
      </rPr>
      <t xml:space="preserve"> (белоснежная) 
Водно-дисперсионная акриловая пожаробезопасная  краска для отделки и защиты деревянных, бетонных, каменных, кирпичных поверхностей внутри зданий и сооружений, для поврехностей, окрашенных красками ВД или красками на органической основе. Класс пожарной опасности покрытия КМ1 (показатели Г1, РП1, В1, Д1, Т1).</t>
    </r>
  </si>
  <si>
    <r>
      <rPr>
        <b/>
        <sz val="15"/>
        <rFont val="Arial Cyr"/>
        <charset val="204"/>
      </rPr>
      <t>НОРТОВСКАЯ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 xml:space="preserve"> КРАСКА ИНТЕРЬЕРНАЯ</t>
    </r>
    <r>
      <rPr>
        <sz val="15"/>
        <rFont val="Arial Cyr"/>
        <charset val="204"/>
      </rPr>
      <t xml:space="preserve"> (белоснежная) 
Водно-дисперсионная акриловая пожаробезопасная  краска для отделки и защиты деревянных, бетонных, каменных, кирпичных поверхностей внутри зданий и сооружений, для поврехностей, окрашенных красками ВД или красками на органической основе. Класс пожарной опасности покрытия КМ1 (показатели Г1, РП1, В1, Д1, Т1).</t>
    </r>
  </si>
  <si>
    <r>
      <rPr>
        <b/>
        <sz val="15"/>
        <rFont val="Arial Cyr"/>
        <charset val="204"/>
      </rPr>
      <t>НОРТОВСКИЙ</t>
    </r>
    <r>
      <rPr>
        <b/>
        <vertAlign val="superscript"/>
        <sz val="15"/>
        <rFont val="Arial Cyr"/>
        <charset val="204"/>
      </rPr>
      <t>®</t>
    </r>
    <r>
      <rPr>
        <b/>
        <sz val="15"/>
        <rFont val="Arial Cyr"/>
        <charset val="204"/>
      </rPr>
      <t xml:space="preserve"> ЛАК ИНТЕРЬЕРНЫЙ</t>
    </r>
    <r>
      <rPr>
        <sz val="15"/>
        <rFont val="Arial Cyr"/>
        <charset val="204"/>
      </rPr>
      <t xml:space="preserve">
Водно-дисперсионный акриловый лак для отделки и защиты деревянных, каменных, кирпичных поверхностей внутри зданий и сооружений,  для поврехностей, окрашенных красками ВД или красками на органической основе. Возможно нанесение на Pirilax с сохранением группы огнезащитной эффективности.</t>
    </r>
  </si>
  <si>
    <r>
      <rPr>
        <b/>
        <sz val="16"/>
        <rFont val="Arial Cyr"/>
        <charset val="204"/>
      </rPr>
      <t>НОРТОВСКИЙ</t>
    </r>
    <r>
      <rPr>
        <b/>
        <vertAlign val="superscript"/>
        <sz val="16"/>
        <rFont val="Arial Cyr"/>
        <charset val="204"/>
      </rPr>
      <t>®</t>
    </r>
    <r>
      <rPr>
        <b/>
        <sz val="16"/>
        <rFont val="Arial Cyr"/>
        <charset val="204"/>
      </rPr>
      <t xml:space="preserve"> ЛАК ИНТЕРЬЕРНЫЙ</t>
    </r>
    <r>
      <rPr>
        <sz val="16"/>
        <rFont val="Arial Cyr"/>
        <charset val="204"/>
      </rPr>
      <t xml:space="preserve">
Водно-дисперсионный акриловый лак для отделки и защиты деревянных, каменных, кирпичных поверхностей внутри зданий и сооружений,  для поврехностей, окрашенных красками ВД или красками на органической основе. Возможно нанесение на Pirilax с сохранением группы огнезащитной эффективности.</t>
    </r>
  </si>
  <si>
    <t>3-4 месяца
 1 кг. конц./20 кг. воды</t>
  </si>
  <si>
    <t>6 месяцев
 1 кг.конц./15 кг. воды</t>
  </si>
  <si>
    <t>1-1,5 года
 1 кг. конц./10 кг. воды</t>
  </si>
  <si>
    <t>3-4 месяца
  1 кг. конц./20 кг. воды</t>
  </si>
  <si>
    <t>3-4 месяца  (1 кг. конц./20 кг. воды)</t>
  </si>
  <si>
    <t>6 месяцев ( 1 кг. конц./15 кг. воды)</t>
  </si>
  <si>
    <t>1-1,5 года (1 кг.конц./10 кг. воды)</t>
  </si>
  <si>
    <t>3-4 месяца (1 кг.конц./20 кг. воды)</t>
  </si>
  <si>
    <t>6 месяцев (1 кг. конц./15 кг. воды)</t>
  </si>
  <si>
    <t>1-1,5 года (1 кг. конц./10 кг. воды)</t>
  </si>
  <si>
    <t>3640,9</t>
  </si>
  <si>
    <t xml:space="preserve">Официальный Дилер  "НОРТ" в Республике Башкортостан  ООО "Спецзащита"
 450081, Республика Башкортостан, г. Уфа, ул. Шота Руставели, д. 51/1, оф. 309
 тел./факс: (347) 246-10-13, 246-40-04  e-mail:sz_ufa@mail.ru, http://speczashita-ufa.ru.
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</si>
</sst>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#,##0.00_р_."/>
    <numFmt numFmtId="165" formatCode="#,##0.00_ ;\-#,##0.00\ "/>
    <numFmt numFmtId="166" formatCode="#,##0.0_р_."/>
    <numFmt numFmtId="167" formatCode="#,##0_ ;\-#,##0\ "/>
    <numFmt numFmtId="168" formatCode="_-* #,##0_р_._-;\-* #,##0_р_._-;_-* &quot;-&quot;??_р_._-;_-@_-"/>
  </numFmts>
  <fonts count="7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14"/>
      <name val="Arial"/>
      <family val="2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sz val="16"/>
      <name val="Arial Narrow"/>
      <family val="2"/>
      <charset val="204"/>
    </font>
    <font>
      <sz val="14"/>
      <name val="Arial Narrow"/>
      <family val="2"/>
      <charset val="204"/>
    </font>
    <font>
      <sz val="14"/>
      <name val="Arial Cyr"/>
      <charset val="204"/>
    </font>
    <font>
      <sz val="16"/>
      <name val="Arial Cyr"/>
      <charset val="204"/>
    </font>
    <font>
      <sz val="16"/>
      <name val="Arial Cyr"/>
      <family val="2"/>
      <charset val="204"/>
    </font>
    <font>
      <sz val="16"/>
      <name val="Arial"/>
      <family val="2"/>
      <charset val="204"/>
    </font>
    <font>
      <b/>
      <sz val="18"/>
      <name val="Arial"/>
      <family val="2"/>
      <charset val="204"/>
    </font>
    <font>
      <sz val="18"/>
      <name val="Arial Narrow"/>
      <family val="2"/>
      <charset val="204"/>
    </font>
    <font>
      <sz val="18"/>
      <name val="Arial Cyr"/>
      <family val="2"/>
      <charset val="204"/>
    </font>
    <font>
      <sz val="18"/>
      <name val="Arial Cyr"/>
      <charset val="204"/>
    </font>
    <font>
      <sz val="18"/>
      <name val="Arial"/>
      <family val="2"/>
      <charset val="204"/>
    </font>
    <font>
      <b/>
      <sz val="18"/>
      <name val="Arial Cyr"/>
      <family val="2"/>
      <charset val="204"/>
    </font>
    <font>
      <b/>
      <sz val="18"/>
      <name val="Arial Narrow"/>
      <family val="2"/>
      <charset val="204"/>
    </font>
    <font>
      <b/>
      <vertAlign val="superscript"/>
      <sz val="18"/>
      <name val="Arial Cyr"/>
      <charset val="204"/>
    </font>
    <font>
      <b/>
      <sz val="16"/>
      <name val="Arial Narrow"/>
      <family val="2"/>
      <charset val="204"/>
    </font>
    <font>
      <sz val="20"/>
      <name val="Arial Cyr"/>
      <charset val="204"/>
    </font>
    <font>
      <b/>
      <sz val="20"/>
      <name val="Arial"/>
      <family val="2"/>
      <charset val="204"/>
    </font>
    <font>
      <b/>
      <sz val="26"/>
      <name val="Arial Cyr"/>
      <charset val="204"/>
    </font>
    <font>
      <b/>
      <i/>
      <sz val="18"/>
      <name val="Arial"/>
      <family val="2"/>
      <charset val="204"/>
    </font>
    <font>
      <b/>
      <i/>
      <vertAlign val="superscript"/>
      <sz val="18"/>
      <name val="Arial"/>
      <family val="2"/>
      <charset val="204"/>
    </font>
    <font>
      <b/>
      <vertAlign val="superscript"/>
      <sz val="20"/>
      <name val="Arial"/>
      <family val="2"/>
      <charset val="204"/>
    </font>
    <font>
      <sz val="20"/>
      <name val="Arial Narrow"/>
      <family val="2"/>
      <charset val="204"/>
    </font>
    <font>
      <sz val="20"/>
      <name val="Arial"/>
      <family val="2"/>
      <charset val="204"/>
    </font>
    <font>
      <b/>
      <sz val="36"/>
      <name val="Arial Cyr"/>
      <charset val="204"/>
    </font>
    <font>
      <sz val="24"/>
      <name val="Arial Cyr"/>
      <charset val="204"/>
    </font>
    <font>
      <vertAlign val="superscript"/>
      <sz val="20"/>
      <name val="Arial Cyr"/>
      <charset val="204"/>
    </font>
    <font>
      <b/>
      <i/>
      <sz val="20"/>
      <name val="Arial Cyr"/>
      <family val="2"/>
      <charset val="204"/>
    </font>
    <font>
      <b/>
      <i/>
      <sz val="20"/>
      <name val="Arial"/>
      <family val="2"/>
      <charset val="204"/>
    </font>
    <font>
      <b/>
      <sz val="30"/>
      <name val="Arial Cyr"/>
      <charset val="204"/>
    </font>
    <font>
      <sz val="24"/>
      <name val="Arial"/>
      <family val="2"/>
      <charset val="204"/>
    </font>
    <font>
      <b/>
      <sz val="36"/>
      <name val="Arial"/>
      <family val="2"/>
      <charset val="204"/>
    </font>
    <font>
      <vertAlign val="superscript"/>
      <sz val="18"/>
      <name val="Arial"/>
      <family val="2"/>
      <charset val="204"/>
    </font>
    <font>
      <b/>
      <vertAlign val="superscript"/>
      <sz val="20"/>
      <name val="Arial Cyr"/>
      <charset val="204"/>
    </font>
    <font>
      <b/>
      <sz val="34"/>
      <name val="Arial Cyr"/>
      <charset val="204"/>
    </font>
    <font>
      <b/>
      <sz val="24"/>
      <name val="Arial Cyr"/>
      <charset val="204"/>
    </font>
    <font>
      <b/>
      <sz val="28"/>
      <name val="Arial Cyr"/>
      <charset val="204"/>
    </font>
    <font>
      <sz val="8"/>
      <name val="Arial"/>
      <family val="2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vertAlign val="superscript"/>
      <sz val="10"/>
      <name val="Arial Cyr"/>
      <charset val="204"/>
    </font>
    <font>
      <sz val="10"/>
      <name val="Arial"/>
      <family val="2"/>
      <charset val="204"/>
    </font>
    <font>
      <sz val="10"/>
      <name val="Arial Black"/>
      <family val="2"/>
      <charset val="204"/>
    </font>
    <font>
      <i/>
      <sz val="10"/>
      <name val="Arial Black"/>
      <family val="2"/>
      <charset val="204"/>
    </font>
    <font>
      <b/>
      <sz val="8"/>
      <name val="Arial Cyr"/>
      <charset val="204"/>
    </font>
    <font>
      <vertAlign val="superscript"/>
      <sz val="10"/>
      <name val="Arial Cyr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28"/>
      <name val="Arial Cyr"/>
      <charset val="204"/>
    </font>
    <font>
      <b/>
      <sz val="10"/>
      <name val="Arial Black"/>
      <family val="2"/>
      <charset val="204"/>
    </font>
    <font>
      <b/>
      <sz val="10"/>
      <name val="Arial Narrow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5"/>
      <name val="Arial Cyr"/>
      <charset val="204"/>
    </font>
    <font>
      <b/>
      <sz val="15"/>
      <name val="Arial Cyr"/>
      <charset val="204"/>
    </font>
    <font>
      <b/>
      <sz val="15"/>
      <name val="Arial Black"/>
      <family val="2"/>
      <charset val="204"/>
    </font>
    <font>
      <sz val="15"/>
      <name val="Arial"/>
      <family val="2"/>
      <charset val="204"/>
    </font>
    <font>
      <sz val="15"/>
      <name val="Arial Cyr"/>
      <family val="2"/>
      <charset val="204"/>
    </font>
    <font>
      <sz val="15"/>
      <name val="Arial Narrow"/>
      <family val="2"/>
      <charset val="204"/>
    </font>
    <font>
      <b/>
      <sz val="14"/>
      <name val="Arial Narrow"/>
      <family val="2"/>
      <charset val="204"/>
    </font>
    <font>
      <b/>
      <vertAlign val="superscript"/>
      <sz val="15"/>
      <name val="Arial Cyr"/>
      <charset val="204"/>
    </font>
    <font>
      <b/>
      <sz val="18"/>
      <name val="Arial Black"/>
      <family val="2"/>
      <charset val="204"/>
    </font>
    <font>
      <b/>
      <vertAlign val="superscript"/>
      <sz val="16"/>
      <name val="Arial Cyr"/>
      <charset val="204"/>
    </font>
    <font>
      <b/>
      <sz val="16"/>
      <name val="Arial Black"/>
      <family val="2"/>
      <charset val="204"/>
    </font>
    <font>
      <b/>
      <sz val="15"/>
      <name val="Arial Cyr"/>
      <family val="2"/>
      <charset val="204"/>
    </font>
    <font>
      <b/>
      <sz val="15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71">
    <xf numFmtId="0" fontId="0" fillId="0" borderId="0" xfId="0"/>
    <xf numFmtId="0" fontId="0" fillId="0" borderId="0" xfId="0" applyBorder="1" applyAlignment="1"/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4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Border="1"/>
    <xf numFmtId="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0" fillId="0" borderId="0" xfId="0" applyNumberFormat="1"/>
    <xf numFmtId="0" fontId="0" fillId="2" borderId="0" xfId="0" applyFill="1"/>
    <xf numFmtId="0" fontId="11" fillId="0" borderId="0" xfId="0" applyFont="1" applyBorder="1"/>
    <xf numFmtId="0" fontId="10" fillId="0" borderId="3" xfId="0" applyFont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21" fillId="0" borderId="0" xfId="0" applyFont="1" applyBorder="1"/>
    <xf numFmtId="0" fontId="18" fillId="0" borderId="0" xfId="0" applyFont="1" applyBorder="1"/>
    <xf numFmtId="0" fontId="17" fillId="0" borderId="0" xfId="0" applyFont="1" applyBorder="1"/>
    <xf numFmtId="0" fontId="8" fillId="2" borderId="2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32" fillId="0" borderId="0" xfId="0" applyFont="1" applyBorder="1"/>
    <xf numFmtId="0" fontId="36" fillId="0" borderId="0" xfId="0" applyFont="1"/>
    <xf numFmtId="0" fontId="16" fillId="2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" fontId="38" fillId="2" borderId="4" xfId="0" applyNumberFormat="1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7" fillId="0" borderId="0" xfId="0" applyFont="1" applyBorder="1" applyAlignment="1"/>
    <xf numFmtId="0" fontId="0" fillId="0" borderId="0" xfId="0" applyBorder="1" applyAlignment="1">
      <alignment vertical="center"/>
    </xf>
    <xf numFmtId="0" fontId="39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4" fontId="34" fillId="0" borderId="0" xfId="0" applyNumberFormat="1" applyFont="1" applyBorder="1" applyAlignment="1">
      <alignment horizontal="center" vertical="center" wrapText="1"/>
    </xf>
    <xf numFmtId="165" fontId="34" fillId="0" borderId="0" xfId="0" applyNumberFormat="1" applyFont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center" wrapText="1"/>
    </xf>
    <xf numFmtId="165" fontId="38" fillId="0" borderId="0" xfId="0" applyNumberFormat="1" applyFont="1" applyFill="1" applyBorder="1" applyAlignment="1">
      <alignment horizontal="center" vertical="center" wrapText="1"/>
    </xf>
    <xf numFmtId="4" fontId="43" fillId="2" borderId="4" xfId="0" applyNumberFormat="1" applyFont="1" applyFill="1" applyBorder="1" applyAlignment="1">
      <alignment horizontal="center" vertical="center" wrapText="1"/>
    </xf>
    <xf numFmtId="4" fontId="43" fillId="2" borderId="7" xfId="0" applyNumberFormat="1" applyFont="1" applyFill="1" applyBorder="1" applyAlignment="1">
      <alignment horizontal="center" vertical="center" wrapText="1"/>
    </xf>
    <xf numFmtId="4" fontId="43" fillId="2" borderId="4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4" fontId="38" fillId="2" borderId="3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/>
    </xf>
    <xf numFmtId="0" fontId="32" fillId="0" borderId="3" xfId="0" applyFont="1" applyBorder="1" applyAlignment="1">
      <alignment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31" fillId="0" borderId="4" xfId="0" applyFont="1" applyBorder="1" applyAlignment="1">
      <alignment vertical="justify" wrapText="1"/>
    </xf>
    <xf numFmtId="4" fontId="38" fillId="2" borderId="3" xfId="0" applyNumberFormat="1" applyFont="1" applyFill="1" applyBorder="1" applyAlignment="1">
      <alignment horizontal="right" vertical="center" wrapText="1" indent="1"/>
    </xf>
    <xf numFmtId="4" fontId="44" fillId="2" borderId="14" xfId="0" applyNumberFormat="1" applyFont="1" applyFill="1" applyBorder="1" applyAlignment="1">
      <alignment horizontal="center" vertical="center" wrapText="1"/>
    </xf>
    <xf numFmtId="4" fontId="45" fillId="2" borderId="7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 indent="1"/>
    </xf>
    <xf numFmtId="0" fontId="0" fillId="2" borderId="15" xfId="0" applyFill="1" applyBorder="1" applyAlignment="1">
      <alignment horizontal="right" indent="1"/>
    </xf>
    <xf numFmtId="4" fontId="27" fillId="2" borderId="16" xfId="0" applyNumberFormat="1" applyFont="1" applyFill="1" applyBorder="1" applyAlignment="1">
      <alignment horizontal="right" vertical="center" wrapText="1" indent="1"/>
    </xf>
    <xf numFmtId="4" fontId="38" fillId="2" borderId="12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right" indent="1"/>
    </xf>
    <xf numFmtId="0" fontId="12" fillId="0" borderId="0" xfId="0" applyFont="1" applyAlignment="1">
      <alignment horizontal="right" indent="1"/>
    </xf>
    <xf numFmtId="0" fontId="12" fillId="0" borderId="0" xfId="0" applyFont="1" applyBorder="1" applyAlignment="1">
      <alignment horizontal="right" indent="1"/>
    </xf>
    <xf numFmtId="0" fontId="0" fillId="0" borderId="0" xfId="0" applyBorder="1"/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/>
    <xf numFmtId="0" fontId="49" fillId="3" borderId="4" xfId="0" applyFont="1" applyFill="1" applyBorder="1" applyAlignment="1">
      <alignment horizontal="center" vertical="center"/>
    </xf>
    <xf numFmtId="0" fontId="50" fillId="3" borderId="4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9" fontId="2" fillId="0" borderId="19" xfId="0" applyNumberFormat="1" applyFont="1" applyBorder="1" applyAlignment="1">
      <alignment horizontal="center"/>
    </xf>
    <xf numFmtId="0" fontId="39" fillId="2" borderId="4" xfId="0" applyFont="1" applyFill="1" applyBorder="1" applyAlignment="1">
      <alignment horizontal="center" vertical="top" wrapText="1"/>
    </xf>
    <xf numFmtId="166" fontId="38" fillId="2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43" fontId="55" fillId="3" borderId="18" xfId="2" applyNumberFormat="1" applyFont="1" applyFill="1" applyBorder="1" applyAlignment="1">
      <alignment horizontal="right" vertical="center" wrapText="1" indent="1"/>
    </xf>
    <xf numFmtId="43" fontId="55" fillId="3" borderId="24" xfId="2" applyNumberFormat="1" applyFont="1" applyFill="1" applyBorder="1" applyAlignment="1">
      <alignment horizontal="right" vertical="center" wrapText="1" indent="1"/>
    </xf>
    <xf numFmtId="43" fontId="55" fillId="3" borderId="19" xfId="2" applyNumberFormat="1" applyFont="1" applyFill="1" applyBorder="1" applyAlignment="1">
      <alignment horizontal="right" vertical="center" wrapText="1" indent="1"/>
    </xf>
    <xf numFmtId="43" fontId="55" fillId="3" borderId="25" xfId="2" applyNumberFormat="1" applyFont="1" applyFill="1" applyBorder="1" applyAlignment="1">
      <alignment horizontal="right" vertical="center" wrapText="1" indent="1"/>
    </xf>
    <xf numFmtId="43" fontId="55" fillId="3" borderId="21" xfId="2" applyNumberFormat="1" applyFont="1" applyFill="1" applyBorder="1" applyAlignment="1">
      <alignment horizontal="right" vertical="center" wrapText="1" indent="1"/>
    </xf>
    <xf numFmtId="43" fontId="55" fillId="3" borderId="26" xfId="2" applyNumberFormat="1" applyFont="1" applyFill="1" applyBorder="1" applyAlignment="1">
      <alignment horizontal="right" vertical="center" wrapText="1" indent="1"/>
    </xf>
    <xf numFmtId="43" fontId="55" fillId="3" borderId="22" xfId="2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48" fillId="0" borderId="1" xfId="0" applyFont="1" applyBorder="1" applyAlignment="1">
      <alignment vertical="center"/>
    </xf>
    <xf numFmtId="9" fontId="25" fillId="0" borderId="0" xfId="1" applyFont="1" applyAlignment="1" applyProtection="1">
      <alignment horizontal="center"/>
      <protection locked="0"/>
    </xf>
    <xf numFmtId="4" fontId="43" fillId="2" borderId="7" xfId="0" applyNumberFormat="1" applyFont="1" applyFill="1" applyBorder="1" applyAlignment="1" applyProtection="1">
      <alignment horizontal="center" vertical="center"/>
    </xf>
    <xf numFmtId="4" fontId="38" fillId="2" borderId="11" xfId="0" applyNumberFormat="1" applyFont="1" applyFill="1" applyBorder="1" applyAlignment="1">
      <alignment horizontal="right" vertical="center" wrapText="1" indent="2"/>
    </xf>
    <xf numFmtId="4" fontId="43" fillId="2" borderId="4" xfId="0" applyNumberFormat="1" applyFont="1" applyFill="1" applyBorder="1" applyAlignment="1" applyProtection="1">
      <alignment horizontal="center" vertical="center"/>
    </xf>
    <xf numFmtId="4" fontId="43" fillId="2" borderId="7" xfId="0" applyNumberFormat="1" applyFont="1" applyFill="1" applyBorder="1" applyAlignment="1" applyProtection="1">
      <alignment horizontal="center" vertical="center" wrapText="1"/>
    </xf>
    <xf numFmtId="165" fontId="38" fillId="2" borderId="28" xfId="2" applyNumberFormat="1" applyFont="1" applyFill="1" applyBorder="1" applyAlignment="1" applyProtection="1">
      <alignment horizontal="right" vertical="center" wrapText="1" indent="2"/>
    </xf>
    <xf numFmtId="0" fontId="31" fillId="0" borderId="1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right" wrapText="1" indent="1"/>
      <protection hidden="1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22" fillId="2" borderId="2" xfId="0" applyFont="1" applyFill="1" applyBorder="1" applyAlignment="1" applyProtection="1">
      <alignment horizontal="center" vertical="center" wrapText="1"/>
      <protection hidden="1"/>
    </xf>
    <xf numFmtId="0" fontId="22" fillId="2" borderId="4" xfId="0" applyFont="1" applyFill="1" applyBorder="1" applyAlignment="1" applyProtection="1">
      <alignment horizontal="center" vertical="center" wrapText="1"/>
      <protection hidden="1"/>
    </xf>
    <xf numFmtId="0" fontId="22" fillId="2" borderId="5" xfId="0" applyFont="1" applyFill="1" applyBorder="1" applyAlignment="1" applyProtection="1">
      <alignment horizontal="center" vertical="center" wrapText="1"/>
      <protection hidden="1"/>
    </xf>
    <xf numFmtId="0" fontId="24" fillId="2" borderId="4" xfId="0" applyFont="1" applyFill="1" applyBorder="1" applyAlignment="1" applyProtection="1">
      <alignment horizontal="center" vertical="center" wrapText="1"/>
      <protection hidden="1"/>
    </xf>
    <xf numFmtId="0" fontId="10" fillId="0" borderId="8" xfId="0" applyFont="1" applyBorder="1" applyAlignment="1" applyProtection="1">
      <alignment horizontal="center" vertical="center" wrapText="1"/>
      <protection hidden="1"/>
    </xf>
    <xf numFmtId="0" fontId="10" fillId="0" borderId="3" xfId="0" applyFont="1" applyBorder="1" applyAlignment="1" applyProtection="1">
      <alignment horizontal="center" vertical="center" wrapText="1"/>
      <protection hidden="1"/>
    </xf>
    <xf numFmtId="0" fontId="11" fillId="0" borderId="3" xfId="0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center" vertical="center" wrapText="1"/>
      <protection hidden="1"/>
    </xf>
    <xf numFmtId="0" fontId="0" fillId="2" borderId="0" xfId="0" applyFill="1" applyProtection="1">
      <protection hidden="1"/>
    </xf>
    <xf numFmtId="0" fontId="0" fillId="2" borderId="15" xfId="0" applyFill="1" applyBorder="1" applyAlignment="1" applyProtection="1">
      <alignment horizontal="right" indent="1"/>
      <protection hidden="1"/>
    </xf>
    <xf numFmtId="0" fontId="25" fillId="2" borderId="3" xfId="0" applyFont="1" applyFill="1" applyBorder="1" applyAlignment="1" applyProtection="1">
      <alignment horizontal="center" vertical="center" wrapText="1"/>
      <protection hidden="1"/>
    </xf>
    <xf numFmtId="2" fontId="44" fillId="2" borderId="7" xfId="0" applyNumberFormat="1" applyFont="1" applyFill="1" applyBorder="1" applyAlignment="1" applyProtection="1">
      <alignment horizontal="center" wrapText="1"/>
      <protection hidden="1"/>
    </xf>
    <xf numFmtId="0" fontId="31" fillId="0" borderId="4" xfId="0" applyFont="1" applyBorder="1" applyAlignment="1" applyProtection="1">
      <alignment vertical="justify" wrapText="1"/>
      <protection hidden="1"/>
    </xf>
    <xf numFmtId="0" fontId="32" fillId="0" borderId="3" xfId="0" applyFont="1" applyBorder="1" applyAlignment="1" applyProtection="1">
      <alignment vertical="center" wrapText="1"/>
      <protection hidden="1"/>
    </xf>
    <xf numFmtId="0" fontId="25" fillId="2" borderId="13" xfId="0" applyFont="1" applyFill="1" applyBorder="1" applyAlignment="1" applyProtection="1">
      <alignment horizontal="center" vertical="center" wrapText="1"/>
      <protection hidden="1"/>
    </xf>
    <xf numFmtId="4" fontId="27" fillId="2" borderId="16" xfId="0" applyNumberFormat="1" applyFont="1" applyFill="1" applyBorder="1" applyAlignment="1" applyProtection="1">
      <alignment horizontal="right" vertical="center" wrapText="1" indent="1"/>
      <protection hidden="1"/>
    </xf>
    <xf numFmtId="4" fontId="44" fillId="2" borderId="14" xfId="0" applyNumberFormat="1" applyFont="1" applyFill="1" applyBorder="1" applyAlignment="1" applyProtection="1">
      <alignment horizontal="center" vertical="center" wrapText="1"/>
      <protection hidden="1"/>
    </xf>
    <xf numFmtId="0" fontId="25" fillId="2" borderId="12" xfId="0" applyFont="1" applyFill="1" applyBorder="1" applyAlignment="1" applyProtection="1">
      <alignment horizontal="center" vertical="center" wrapText="1"/>
      <protection hidden="1"/>
    </xf>
    <xf numFmtId="4" fontId="38" fillId="2" borderId="12" xfId="0" applyNumberFormat="1" applyFont="1" applyFill="1" applyBorder="1" applyAlignment="1" applyProtection="1">
      <alignment horizontal="right" vertical="center" wrapText="1" indent="1"/>
      <protection hidden="1"/>
    </xf>
    <xf numFmtId="0" fontId="25" fillId="2" borderId="12" xfId="0" applyFont="1" applyFill="1" applyBorder="1" applyAlignment="1" applyProtection="1">
      <alignment horizontal="center" vertical="distributed" wrapText="1"/>
      <protection hidden="1"/>
    </xf>
    <xf numFmtId="0" fontId="25" fillId="2" borderId="30" xfId="0" applyFont="1" applyFill="1" applyBorder="1" applyAlignment="1" applyProtection="1">
      <alignment horizontal="center" vertical="distributed" wrapText="1"/>
      <protection hidden="1"/>
    </xf>
    <xf numFmtId="0" fontId="0" fillId="2" borderId="2" xfId="0" applyFill="1" applyBorder="1" applyProtection="1"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4" fontId="38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5" fillId="2" borderId="2" xfId="0" applyFont="1" applyFill="1" applyBorder="1" applyAlignment="1" applyProtection="1">
      <alignment horizontal="center" vertical="center" wrapText="1"/>
      <protection hidden="1"/>
    </xf>
    <xf numFmtId="0" fontId="25" fillId="2" borderId="6" xfId="0" applyFont="1" applyFill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/>
      <protection hidden="1"/>
    </xf>
    <xf numFmtId="4" fontId="45" fillId="2" borderId="7" xfId="0" applyNumberFormat="1" applyFont="1" applyFill="1" applyBorder="1" applyAlignment="1" applyProtection="1">
      <alignment horizontal="center" wrapText="1"/>
      <protection hidden="1"/>
    </xf>
    <xf numFmtId="0" fontId="34" fillId="0" borderId="0" xfId="0" applyFont="1" applyAlignment="1" applyProtection="1">
      <alignment wrapText="1"/>
      <protection hidden="1"/>
    </xf>
    <xf numFmtId="0" fontId="0" fillId="0" borderId="0" xfId="0" applyAlignment="1" applyProtection="1">
      <protection hidden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1" xfId="0" applyFont="1" applyBorder="1" applyAlignment="1" applyProtection="1">
      <alignment horizontal="center" vertical="center" wrapText="1"/>
      <protection hidden="1"/>
    </xf>
    <xf numFmtId="0" fontId="25" fillId="0" borderId="32" xfId="0" applyFont="1" applyBorder="1" applyAlignment="1" applyProtection="1">
      <alignment horizontal="center" vertical="center" wrapText="1"/>
      <protection hidden="1"/>
    </xf>
    <xf numFmtId="0" fontId="25" fillId="0" borderId="33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>
      <alignment vertical="center"/>
    </xf>
    <xf numFmtId="0" fontId="19" fillId="0" borderId="0" xfId="0" applyFont="1"/>
    <xf numFmtId="0" fontId="8" fillId="4" borderId="8" xfId="0" applyFont="1" applyFill="1" applyBorder="1" applyAlignment="1" applyProtection="1">
      <alignment horizontal="center" vertical="center"/>
      <protection hidden="1"/>
    </xf>
    <xf numFmtId="0" fontId="8" fillId="4" borderId="8" xfId="0" applyFont="1" applyFill="1" applyBorder="1" applyAlignment="1">
      <alignment horizontal="center" vertical="center"/>
    </xf>
    <xf numFmtId="4" fontId="38" fillId="2" borderId="15" xfId="0" applyNumberFormat="1" applyFont="1" applyFill="1" applyBorder="1" applyAlignment="1">
      <alignment horizontal="center" vertical="center" wrapText="1"/>
    </xf>
    <xf numFmtId="4" fontId="38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57" fillId="0" borderId="34" xfId="0" applyFont="1" applyBorder="1" applyAlignment="1">
      <alignment horizontal="center"/>
    </xf>
    <xf numFmtId="43" fontId="55" fillId="3" borderId="35" xfId="2" applyNumberFormat="1" applyFont="1" applyFill="1" applyBorder="1" applyAlignment="1">
      <alignment horizontal="right" vertical="center" wrapText="1" indent="1"/>
    </xf>
    <xf numFmtId="43" fontId="55" fillId="3" borderId="20" xfId="2" applyNumberFormat="1" applyFont="1" applyFill="1" applyBorder="1" applyAlignment="1">
      <alignment horizontal="right" vertical="center" wrapText="1" indent="1"/>
    </xf>
    <xf numFmtId="0" fontId="25" fillId="0" borderId="0" xfId="0" applyFont="1" applyBorder="1" applyAlignment="1">
      <alignment horizontal="center" vertical="center"/>
    </xf>
    <xf numFmtId="9" fontId="25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57" fillId="0" borderId="34" xfId="0" applyFont="1" applyBorder="1" applyAlignment="1">
      <alignment horizontal="left"/>
    </xf>
    <xf numFmtId="2" fontId="44" fillId="2" borderId="36" xfId="0" applyNumberFormat="1" applyFont="1" applyFill="1" applyBorder="1" applyAlignment="1">
      <alignment horizontal="center" wrapText="1"/>
    </xf>
    <xf numFmtId="4" fontId="44" fillId="2" borderId="29" xfId="0" applyNumberFormat="1" applyFont="1" applyFill="1" applyBorder="1" applyAlignment="1">
      <alignment horizontal="center" vertical="center" wrapText="1"/>
    </xf>
    <xf numFmtId="4" fontId="44" fillId="2" borderId="37" xfId="0" applyNumberFormat="1" applyFont="1" applyFill="1" applyBorder="1" applyAlignment="1">
      <alignment horizontal="center" vertical="center" wrapText="1"/>
    </xf>
    <xf numFmtId="4" fontId="44" fillId="2" borderId="38" xfId="0" applyNumberFormat="1" applyFont="1" applyFill="1" applyBorder="1" applyAlignment="1">
      <alignment horizontal="center" vertical="center" wrapText="1"/>
    </xf>
    <xf numFmtId="4" fontId="43" fillId="2" borderId="0" xfId="0" applyNumberFormat="1" applyFont="1" applyFill="1" applyBorder="1" applyAlignment="1">
      <alignment horizontal="center" vertical="center"/>
    </xf>
    <xf numFmtId="165" fontId="38" fillId="2" borderId="4" xfId="2" applyNumberFormat="1" applyFont="1" applyFill="1" applyBorder="1" applyAlignment="1" applyProtection="1">
      <alignment horizontal="right" vertical="center" wrapText="1" indent="2"/>
    </xf>
    <xf numFmtId="2" fontId="38" fillId="2" borderId="4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/>
    </xf>
    <xf numFmtId="0" fontId="1" fillId="3" borderId="2" xfId="0" applyFont="1" applyFill="1" applyBorder="1"/>
    <xf numFmtId="0" fontId="59" fillId="0" borderId="0" xfId="0" applyFont="1" applyBorder="1"/>
    <xf numFmtId="43" fontId="55" fillId="3" borderId="64" xfId="2" applyNumberFormat="1" applyFont="1" applyFill="1" applyBorder="1" applyAlignment="1">
      <alignment horizontal="right" vertical="center" wrapText="1" indent="1"/>
    </xf>
    <xf numFmtId="0" fontId="51" fillId="3" borderId="9" xfId="0" applyFont="1" applyFill="1" applyBorder="1" applyAlignment="1">
      <alignment vertical="center"/>
    </xf>
    <xf numFmtId="0" fontId="51" fillId="3" borderId="0" xfId="0" applyFont="1" applyFill="1" applyBorder="1" applyAlignment="1">
      <alignment vertical="center"/>
    </xf>
    <xf numFmtId="0" fontId="54" fillId="0" borderId="5" xfId="0" applyFont="1" applyBorder="1" applyAlignment="1">
      <alignment horizontal="center" vertical="center"/>
    </xf>
    <xf numFmtId="0" fontId="61" fillId="0" borderId="0" xfId="0" applyFont="1"/>
    <xf numFmtId="4" fontId="38" fillId="2" borderId="3" xfId="0" applyNumberFormat="1" applyFont="1" applyFill="1" applyBorder="1" applyAlignment="1" applyProtection="1">
      <alignment horizontal="right" vertical="center" wrapText="1" indent="1"/>
      <protection hidden="1"/>
    </xf>
    <xf numFmtId="0" fontId="25" fillId="2" borderId="3" xfId="0" applyFont="1" applyFill="1" applyBorder="1" applyAlignment="1" applyProtection="1">
      <alignment horizontal="center" vertical="center" wrapText="1"/>
      <protection hidden="1"/>
    </xf>
    <xf numFmtId="4" fontId="38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>
      <alignment horizontal="center" vertical="center"/>
    </xf>
    <xf numFmtId="4" fontId="38" fillId="2" borderId="4" xfId="0" applyNumberFormat="1" applyFont="1" applyFill="1" applyBorder="1" applyAlignment="1" applyProtection="1">
      <alignment horizontal="right" vertical="center" wrapText="1" indent="1"/>
      <protection hidden="1"/>
    </xf>
    <xf numFmtId="0" fontId="8" fillId="5" borderId="0" xfId="0" applyFont="1" applyFill="1" applyBorder="1" applyAlignment="1">
      <alignment horizontal="left" vertical="center"/>
    </xf>
    <xf numFmtId="4" fontId="38" fillId="2" borderId="3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3" xfId="0" applyNumberFormat="1" applyFont="1" applyBorder="1" applyAlignment="1" applyProtection="1">
      <alignment horizontal="center" vertical="center" wrapText="1"/>
      <protection hidden="1"/>
    </xf>
    <xf numFmtId="0" fontId="25" fillId="0" borderId="3" xfId="0" applyFont="1" applyBorder="1" applyAlignment="1" applyProtection="1">
      <alignment horizontal="center" vertical="center" wrapText="1"/>
      <protection hidden="1"/>
    </xf>
    <xf numFmtId="0" fontId="25" fillId="5" borderId="3" xfId="0" applyFont="1" applyFill="1" applyBorder="1" applyAlignment="1" applyProtection="1">
      <alignment horizontal="center" vertical="center" wrapText="1"/>
      <protection hidden="1"/>
    </xf>
    <xf numFmtId="4" fontId="43" fillId="2" borderId="3" xfId="0" applyNumberFormat="1" applyFont="1" applyFill="1" applyBorder="1" applyAlignment="1" applyProtection="1">
      <alignment horizontal="center" vertical="center" wrapText="1"/>
    </xf>
    <xf numFmtId="4" fontId="43" fillId="2" borderId="3" xfId="0" applyNumberFormat="1" applyFont="1" applyFill="1" applyBorder="1" applyAlignment="1">
      <alignment horizontal="center" vertical="center" wrapText="1"/>
    </xf>
    <xf numFmtId="4" fontId="38" fillId="2" borderId="3" xfId="0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4" fontId="25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 applyAlignment="1" applyProtection="1">
      <alignment horizontal="center" vertical="center" wrapText="1"/>
      <protection hidden="1"/>
    </xf>
    <xf numFmtId="4" fontId="43" fillId="2" borderId="3" xfId="0" applyNumberFormat="1" applyFont="1" applyFill="1" applyBorder="1" applyAlignment="1">
      <alignment horizontal="center" vertical="center" wrapText="1"/>
    </xf>
    <xf numFmtId="4" fontId="25" fillId="0" borderId="3" xfId="0" applyNumberFormat="1" applyFont="1" applyBorder="1" applyAlignment="1" applyProtection="1">
      <alignment horizontal="center" vertical="center" wrapText="1"/>
      <protection hidden="1"/>
    </xf>
    <xf numFmtId="0" fontId="25" fillId="0" borderId="3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39" fillId="0" borderId="3" xfId="0" applyFont="1" applyBorder="1" applyAlignment="1">
      <alignment horizontal="center" vertical="center" wrapText="1"/>
    </xf>
    <xf numFmtId="16" fontId="39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4" fontId="25" fillId="0" borderId="3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6" fontId="38" fillId="2" borderId="3" xfId="0" applyNumberFormat="1" applyFont="1" applyFill="1" applyBorder="1" applyAlignment="1">
      <alignment horizontal="center" vertical="center" wrapText="1"/>
    </xf>
    <xf numFmtId="165" fontId="38" fillId="2" borderId="3" xfId="2" applyNumberFormat="1" applyFont="1" applyFill="1" applyBorder="1" applyAlignment="1" applyProtection="1">
      <alignment horizontal="right" vertical="center" wrapText="1" indent="2"/>
    </xf>
    <xf numFmtId="0" fontId="8" fillId="2" borderId="31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4" fontId="38" fillId="2" borderId="3" xfId="0" applyNumberFormat="1" applyFont="1" applyFill="1" applyBorder="1" applyAlignment="1" applyProtection="1">
      <alignment horizontal="right" vertical="center" wrapText="1" indent="1"/>
      <protection hidden="1"/>
    </xf>
    <xf numFmtId="0" fontId="5" fillId="0" borderId="0" xfId="0" applyFont="1" applyBorder="1" applyAlignment="1">
      <alignment horizontal="center" vertical="center" wrapText="1"/>
    </xf>
    <xf numFmtId="4" fontId="38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54" fillId="0" borderId="49" xfId="0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54" fillId="0" borderId="67" xfId="0" applyFont="1" applyBorder="1" applyAlignment="1">
      <alignment horizontal="center" vertical="center"/>
    </xf>
    <xf numFmtId="0" fontId="52" fillId="3" borderId="9" xfId="0" applyFont="1" applyFill="1" applyBorder="1" applyAlignment="1">
      <alignment horizontal="right" vertical="center" wrapText="1"/>
    </xf>
    <xf numFmtId="0" fontId="50" fillId="3" borderId="9" xfId="0" applyFont="1" applyFill="1" applyBorder="1" applyAlignment="1">
      <alignment horizontal="center" vertical="center" wrapText="1"/>
    </xf>
    <xf numFmtId="0" fontId="50" fillId="3" borderId="15" xfId="0" applyFont="1" applyFill="1" applyBorder="1" applyAlignment="1">
      <alignment horizontal="center" vertical="center" wrapText="1"/>
    </xf>
    <xf numFmtId="4" fontId="49" fillId="0" borderId="34" xfId="0" applyNumberFormat="1" applyFont="1" applyFill="1" applyBorder="1" applyAlignment="1">
      <alignment horizontal="center" vertical="center" wrapText="1"/>
    </xf>
    <xf numFmtId="4" fontId="49" fillId="0" borderId="58" xfId="0" applyNumberFormat="1" applyFont="1" applyFill="1" applyBorder="1" applyAlignment="1">
      <alignment horizontal="center" vertical="center" wrapText="1"/>
    </xf>
    <xf numFmtId="4" fontId="49" fillId="0" borderId="65" xfId="0" applyNumberFormat="1" applyFont="1" applyFill="1" applyBorder="1" applyAlignment="1">
      <alignment horizontal="center" vertical="center" wrapText="1"/>
    </xf>
    <xf numFmtId="0" fontId="54" fillId="0" borderId="58" xfId="0" applyFont="1" applyBorder="1" applyAlignment="1">
      <alignment horizontal="center" vertical="center"/>
    </xf>
    <xf numFmtId="4" fontId="38" fillId="2" borderId="4" xfId="0" applyNumberFormat="1" applyFont="1" applyFill="1" applyBorder="1" applyAlignment="1" applyProtection="1">
      <alignment vertical="center" wrapText="1"/>
      <protection hidden="1"/>
    </xf>
    <xf numFmtId="4" fontId="38" fillId="2" borderId="3" xfId="0" applyNumberFormat="1" applyFont="1" applyFill="1" applyBorder="1" applyAlignment="1" applyProtection="1">
      <alignment vertical="center" wrapText="1"/>
      <protection hidden="1"/>
    </xf>
    <xf numFmtId="0" fontId="25" fillId="2" borderId="3" xfId="0" applyFont="1" applyFill="1" applyBorder="1" applyAlignment="1">
      <alignment vertical="center" wrapText="1"/>
    </xf>
    <xf numFmtId="0" fontId="25" fillId="2" borderId="3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>
      <alignment horizontal="center" vertical="center" wrapText="1"/>
    </xf>
    <xf numFmtId="4" fontId="38" fillId="2" borderId="31" xfId="0" applyNumberFormat="1" applyFont="1" applyFill="1" applyBorder="1" applyAlignment="1">
      <alignment horizontal="right" vertical="center" wrapText="1" indent="1"/>
    </xf>
    <xf numFmtId="4" fontId="38" fillId="2" borderId="31" xfId="0" applyNumberFormat="1" applyFont="1" applyFill="1" applyBorder="1" applyAlignment="1">
      <alignment horizontal="center" vertical="center" wrapText="1"/>
    </xf>
    <xf numFmtId="4" fontId="38" fillId="2" borderId="7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 applyProtection="1">
      <alignment horizontal="center" vertical="center" wrapText="1"/>
      <protection hidden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54" fillId="0" borderId="77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54" fillId="0" borderId="63" xfId="0" applyFont="1" applyBorder="1" applyAlignment="1">
      <alignment horizontal="center" vertical="center"/>
    </xf>
    <xf numFmtId="4" fontId="38" fillId="2" borderId="8" xfId="0" applyNumberFormat="1" applyFont="1" applyFill="1" applyBorder="1" applyAlignment="1">
      <alignment horizontal="center" vertical="center" wrapText="1"/>
    </xf>
    <xf numFmtId="4" fontId="38" fillId="2" borderId="1" xfId="0" applyNumberFormat="1" applyFont="1" applyFill="1" applyBorder="1" applyAlignment="1">
      <alignment horizontal="center" vertical="center" wrapText="1"/>
    </xf>
    <xf numFmtId="0" fontId="8" fillId="0" borderId="31" xfId="0" applyFont="1" applyBorder="1" applyAlignment="1" applyProtection="1">
      <alignment horizontal="center" vertical="center"/>
      <protection hidden="1"/>
    </xf>
    <xf numFmtId="4" fontId="38" fillId="2" borderId="31" xfId="0" applyNumberFormat="1" applyFont="1" applyFill="1" applyBorder="1" applyAlignment="1" applyProtection="1">
      <alignment horizontal="center" vertical="center" wrapText="1"/>
      <protection hidden="1"/>
    </xf>
    <xf numFmtId="43" fontId="55" fillId="3" borderId="52" xfId="2" applyNumberFormat="1" applyFont="1" applyFill="1" applyBorder="1" applyAlignment="1">
      <alignment horizontal="right" vertical="center" wrapText="1" indent="1"/>
    </xf>
    <xf numFmtId="0" fontId="49" fillId="3" borderId="2" xfId="0" applyFont="1" applyFill="1" applyBorder="1" applyAlignment="1">
      <alignment horizontal="center" vertical="center"/>
    </xf>
    <xf numFmtId="0" fontId="25" fillId="2" borderId="4" xfId="0" applyFont="1" applyFill="1" applyBorder="1" applyAlignment="1" applyProtection="1">
      <alignment horizontal="center" vertical="center" wrapText="1"/>
      <protection hidden="1"/>
    </xf>
    <xf numFmtId="43" fontId="55" fillId="3" borderId="11" xfId="2" applyNumberFormat="1" applyFont="1" applyFill="1" applyBorder="1" applyAlignment="1">
      <alignment horizontal="right" vertical="center" wrapText="1" indent="1"/>
    </xf>
    <xf numFmtId="0" fontId="25" fillId="2" borderId="3" xfId="0" applyFont="1" applyFill="1" applyBorder="1" applyAlignment="1" applyProtection="1">
      <alignment horizontal="center" vertical="center" wrapText="1"/>
      <protection hidden="1"/>
    </xf>
    <xf numFmtId="0" fontId="51" fillId="3" borderId="5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51" fillId="3" borderId="5" xfId="0" applyFont="1" applyFill="1" applyBorder="1" applyAlignment="1">
      <alignment vertical="center"/>
    </xf>
    <xf numFmtId="0" fontId="57" fillId="0" borderId="0" xfId="0" applyFont="1" applyBorder="1" applyAlignment="1">
      <alignment horizontal="center"/>
    </xf>
    <xf numFmtId="0" fontId="54" fillId="0" borderId="68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2" fillId="3" borderId="1" xfId="0" applyFont="1" applyFill="1" applyBorder="1" applyAlignment="1">
      <alignment horizontal="right" vertical="center" wrapText="1"/>
    </xf>
    <xf numFmtId="0" fontId="54" fillId="0" borderId="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43" fontId="56" fillId="3" borderId="9" xfId="0" applyNumberFormat="1" applyFont="1" applyFill="1" applyBorder="1" applyAlignment="1">
      <alignment horizontal="right" vertical="center" indent="1"/>
    </xf>
    <xf numFmtId="43" fontId="55" fillId="3" borderId="15" xfId="0" applyNumberFormat="1" applyFont="1" applyFill="1" applyBorder="1" applyAlignment="1">
      <alignment horizontal="right" vertical="center" wrapText="1" indent="1"/>
    </xf>
    <xf numFmtId="0" fontId="1" fillId="0" borderId="68" xfId="0" applyFont="1" applyBorder="1" applyAlignment="1">
      <alignment horizontal="center" vertical="center"/>
    </xf>
    <xf numFmtId="0" fontId="54" fillId="0" borderId="78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43" fontId="55" fillId="3" borderId="5" xfId="2" applyNumberFormat="1" applyFont="1" applyFill="1" applyBorder="1" applyAlignment="1">
      <alignment horizontal="right" vertical="center" wrapText="1" indent="1"/>
    </xf>
    <xf numFmtId="0" fontId="52" fillId="0" borderId="5" xfId="0" applyFont="1" applyBorder="1" applyAlignment="1">
      <alignment horizontal="center" vertical="center"/>
    </xf>
    <xf numFmtId="0" fontId="51" fillId="3" borderId="5" xfId="0" applyFont="1" applyFill="1" applyBorder="1" applyAlignment="1">
      <alignment horizontal="left" vertical="center"/>
    </xf>
    <xf numFmtId="0" fontId="51" fillId="3" borderId="0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2" fillId="3" borderId="8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center" vertical="center"/>
    </xf>
    <xf numFmtId="0" fontId="26" fillId="0" borderId="60" xfId="0" applyFont="1" applyBorder="1" applyAlignment="1" applyProtection="1">
      <alignment horizontal="left" vertical="top" wrapText="1"/>
      <protection hidden="1"/>
    </xf>
    <xf numFmtId="0" fontId="26" fillId="0" borderId="23" xfId="0" applyFont="1" applyBorder="1" applyAlignment="1" applyProtection="1">
      <alignment horizontal="left" vertical="top" wrapText="1"/>
      <protection hidden="1"/>
    </xf>
    <xf numFmtId="0" fontId="5" fillId="0" borderId="0" xfId="0" applyFont="1" applyBorder="1" applyAlignment="1">
      <alignment horizontal="center" vertical="center" wrapText="1"/>
    </xf>
    <xf numFmtId="4" fontId="38" fillId="2" borderId="3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/>
    </xf>
    <xf numFmtId="43" fontId="62" fillId="0" borderId="24" xfId="0" applyNumberFormat="1" applyFont="1" applyBorder="1" applyAlignment="1">
      <alignment horizontal="center" vertical="center"/>
    </xf>
    <xf numFmtId="43" fontId="62" fillId="0" borderId="25" xfId="0" applyNumberFormat="1" applyFont="1" applyBorder="1" applyAlignment="1">
      <alignment horizontal="center" vertical="center"/>
    </xf>
    <xf numFmtId="43" fontId="62" fillId="0" borderId="26" xfId="0" applyNumberFormat="1" applyFont="1" applyBorder="1" applyAlignment="1">
      <alignment horizontal="center" vertical="center"/>
    </xf>
    <xf numFmtId="0" fontId="48" fillId="5" borderId="0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25" fillId="2" borderId="3" xfId="0" applyFont="1" applyFill="1" applyBorder="1" applyAlignment="1" applyProtection="1">
      <alignment horizontal="center" vertical="center" wrapText="1"/>
      <protection hidden="1"/>
    </xf>
    <xf numFmtId="4" fontId="38" fillId="2" borderId="3" xfId="0" applyNumberFormat="1" applyFont="1" applyFill="1" applyBorder="1" applyAlignment="1">
      <alignment horizontal="center" vertical="center" wrapText="1"/>
    </xf>
    <xf numFmtId="4" fontId="38" fillId="2" borderId="31" xfId="0" applyNumberFormat="1" applyFont="1" applyFill="1" applyBorder="1" applyAlignment="1">
      <alignment horizontal="right" vertical="center" wrapText="1" indent="1"/>
    </xf>
    <xf numFmtId="4" fontId="38" fillId="2" borderId="3" xfId="0" applyNumberFormat="1" applyFont="1" applyFill="1" applyBorder="1" applyAlignment="1">
      <alignment horizontal="right" vertical="center" wrapText="1" indent="1"/>
    </xf>
    <xf numFmtId="4" fontId="38" fillId="2" borderId="79" xfId="0" applyNumberFormat="1" applyFont="1" applyFill="1" applyBorder="1" applyAlignment="1">
      <alignment vertical="center" wrapText="1"/>
    </xf>
    <xf numFmtId="4" fontId="38" fillId="2" borderId="4" xfId="0" applyNumberFormat="1" applyFont="1" applyFill="1" applyBorder="1" applyAlignment="1">
      <alignment vertical="center" wrapText="1"/>
    </xf>
    <xf numFmtId="4" fontId="38" fillId="2" borderId="4" xfId="0" applyNumberFormat="1" applyFont="1" applyFill="1" applyBorder="1" applyAlignment="1">
      <alignment horizontal="right" vertical="center" wrapText="1" indent="1"/>
    </xf>
    <xf numFmtId="4" fontId="38" fillId="2" borderId="2" xfId="0" applyNumberFormat="1" applyFont="1" applyFill="1" applyBorder="1" applyAlignment="1">
      <alignment horizontal="center" vertical="center" wrapText="1"/>
    </xf>
    <xf numFmtId="4" fontId="38" fillId="2" borderId="31" xfId="0" applyNumberFormat="1" applyFont="1" applyFill="1" applyBorder="1" applyAlignment="1">
      <alignment horizontal="center" vertical="center" wrapText="1"/>
    </xf>
    <xf numFmtId="4" fontId="38" fillId="2" borderId="3" xfId="0" applyNumberFormat="1" applyFont="1" applyFill="1" applyBorder="1" applyAlignment="1">
      <alignment horizontal="right" vertical="center" wrapText="1" indent="1"/>
    </xf>
    <xf numFmtId="0" fontId="25" fillId="2" borderId="8" xfId="0" applyFont="1" applyFill="1" applyBorder="1" applyAlignment="1">
      <alignment horizontal="center" vertical="center" wrapText="1"/>
    </xf>
    <xf numFmtId="0" fontId="63" fillId="6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4" fontId="62" fillId="6" borderId="19" xfId="0" applyNumberFormat="1" applyFont="1" applyFill="1" applyBorder="1" applyAlignment="1">
      <alignment horizontal="right" vertical="center"/>
    </xf>
    <xf numFmtId="164" fontId="62" fillId="0" borderId="19" xfId="0" applyNumberFormat="1" applyFont="1" applyBorder="1" applyAlignment="1">
      <alignment vertical="center"/>
    </xf>
    <xf numFmtId="0" fontId="0" fillId="0" borderId="80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43" fontId="62" fillId="6" borderId="19" xfId="2" applyNumberFormat="1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/>
    </xf>
    <xf numFmtId="0" fontId="0" fillId="7" borderId="19" xfId="0" applyFont="1" applyFill="1" applyBorder="1" applyAlignment="1">
      <alignment horizontal="center" vertical="center"/>
    </xf>
    <xf numFmtId="2" fontId="0" fillId="7" borderId="19" xfId="0" applyNumberFormat="1" applyFont="1" applyFill="1" applyBorder="1" applyAlignment="1">
      <alignment horizontal="center" vertical="center"/>
    </xf>
    <xf numFmtId="164" fontId="62" fillId="7" borderId="19" xfId="0" applyNumberFormat="1" applyFont="1" applyFill="1" applyBorder="1" applyAlignment="1">
      <alignment vertical="center"/>
    </xf>
    <xf numFmtId="0" fontId="0" fillId="7" borderId="80" xfId="0" applyFont="1" applyFill="1" applyBorder="1" applyAlignment="1">
      <alignment horizontal="center" vertical="center"/>
    </xf>
    <xf numFmtId="0" fontId="54" fillId="7" borderId="19" xfId="0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/>
    </xf>
    <xf numFmtId="49" fontId="62" fillId="6" borderId="19" xfId="0" applyNumberFormat="1" applyFont="1" applyFill="1" applyBorder="1" applyAlignment="1">
      <alignment horizontal="right" vertical="center"/>
    </xf>
    <xf numFmtId="2" fontId="62" fillId="6" borderId="19" xfId="0" applyNumberFormat="1" applyFont="1" applyFill="1" applyBorder="1" applyAlignment="1">
      <alignment horizontal="right" vertical="center"/>
    </xf>
    <xf numFmtId="0" fontId="0" fillId="7" borderId="19" xfId="0" applyFill="1" applyBorder="1" applyAlignment="1">
      <alignment vertical="center"/>
    </xf>
    <xf numFmtId="0" fontId="0" fillId="7" borderId="19" xfId="0" applyFill="1" applyBorder="1" applyAlignment="1">
      <alignment vertical="center" wrapText="1"/>
    </xf>
    <xf numFmtId="4" fontId="49" fillId="0" borderId="19" xfId="0" applyNumberFormat="1" applyFont="1" applyFill="1" applyBorder="1" applyAlignment="1">
      <alignment horizontal="center" vertical="center" wrapText="1"/>
    </xf>
    <xf numFmtId="4" fontId="49" fillId="7" borderId="19" xfId="0" applyNumberFormat="1" applyFont="1" applyFill="1" applyBorder="1" applyAlignment="1">
      <alignment horizontal="center" vertical="center" wrapText="1"/>
    </xf>
    <xf numFmtId="0" fontId="63" fillId="6" borderId="20" xfId="0" applyFont="1" applyFill="1" applyBorder="1" applyAlignment="1">
      <alignment horizontal="center" vertical="center" wrapText="1"/>
    </xf>
    <xf numFmtId="0" fontId="25" fillId="0" borderId="3" xfId="0" applyFont="1" applyBorder="1" applyAlignment="1" applyProtection="1">
      <alignment horizontal="center" vertical="center" wrapText="1"/>
      <protection hidden="1"/>
    </xf>
    <xf numFmtId="0" fontId="31" fillId="0" borderId="31" xfId="0" applyFont="1" applyBorder="1" applyAlignment="1" applyProtection="1">
      <alignment horizontal="center" vertical="center" wrapText="1"/>
      <protection hidden="1"/>
    </xf>
    <xf numFmtId="0" fontId="0" fillId="7" borderId="19" xfId="0" applyFill="1" applyBorder="1" applyAlignment="1">
      <alignment horizontal="center" vertical="center" wrapText="1"/>
    </xf>
    <xf numFmtId="0" fontId="25" fillId="2" borderId="3" xfId="0" applyFont="1" applyFill="1" applyBorder="1" applyAlignment="1" applyProtection="1">
      <alignment horizontal="center" vertical="center" wrapText="1"/>
      <protection hidden="1"/>
    </xf>
    <xf numFmtId="0" fontId="25" fillId="2" borderId="7" xfId="0" applyFont="1" applyFill="1" applyBorder="1" applyAlignment="1" applyProtection="1">
      <alignment vertical="center" wrapText="1"/>
      <protection hidden="1"/>
    </xf>
    <xf numFmtId="4" fontId="38" fillId="2" borderId="7" xfId="0" applyNumberFormat="1" applyFont="1" applyFill="1" applyBorder="1" applyAlignment="1" applyProtection="1">
      <alignment vertical="center" wrapText="1"/>
      <protection hidden="1"/>
    </xf>
    <xf numFmtId="0" fontId="31" fillId="0" borderId="3" xfId="0" applyFont="1" applyBorder="1" applyAlignment="1" applyProtection="1">
      <alignment horizontal="center" vertical="center" wrapText="1"/>
      <protection hidden="1"/>
    </xf>
    <xf numFmtId="0" fontId="0" fillId="7" borderId="19" xfId="0" applyFill="1" applyBorder="1" applyAlignment="1">
      <alignment vertical="center" wrapText="1"/>
    </xf>
    <xf numFmtId="0" fontId="54" fillId="5" borderId="19" xfId="0" applyFont="1" applyFill="1" applyBorder="1" applyAlignment="1">
      <alignment horizontal="center" vertical="center"/>
    </xf>
    <xf numFmtId="2" fontId="0" fillId="5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61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31" fillId="0" borderId="3" xfId="0" applyFont="1" applyBorder="1" applyAlignment="1" applyProtection="1">
      <alignment horizontal="center" vertical="center" wrapText="1"/>
      <protection hidden="1"/>
    </xf>
    <xf numFmtId="0" fontId="31" fillId="0" borderId="31" xfId="0" applyFont="1" applyBorder="1" applyAlignment="1" applyProtection="1">
      <alignment horizontal="center" vertical="center" wrapText="1"/>
      <protection hidden="1"/>
    </xf>
    <xf numFmtId="0" fontId="39" fillId="0" borderId="3" xfId="0" applyFont="1" applyBorder="1" applyAlignment="1">
      <alignment horizontal="center" vertical="center" wrapText="1"/>
    </xf>
    <xf numFmtId="2" fontId="66" fillId="0" borderId="19" xfId="0" applyNumberFormat="1" applyFont="1" applyBorder="1" applyAlignment="1">
      <alignment horizontal="center" vertical="center" wrapText="1"/>
    </xf>
    <xf numFmtId="2" fontId="66" fillId="0" borderId="19" xfId="0" applyNumberFormat="1" applyFont="1" applyBorder="1" applyAlignment="1">
      <alignment horizontal="center" vertical="center"/>
    </xf>
    <xf numFmtId="4" fontId="68" fillId="6" borderId="19" xfId="0" applyNumberFormat="1" applyFont="1" applyFill="1" applyBorder="1" applyAlignment="1">
      <alignment horizontal="right" vertical="center"/>
    </xf>
    <xf numFmtId="0" fontId="69" fillId="0" borderId="19" xfId="0" applyFont="1" applyBorder="1" applyAlignment="1">
      <alignment horizontal="center" vertical="center"/>
    </xf>
    <xf numFmtId="2" fontId="66" fillId="7" borderId="19" xfId="0" applyNumberFormat="1" applyFont="1" applyFill="1" applyBorder="1" applyAlignment="1">
      <alignment horizontal="center" vertical="center" wrapText="1"/>
    </xf>
    <xf numFmtId="2" fontId="66" fillId="7" borderId="19" xfId="0" applyNumberFormat="1" applyFont="1" applyFill="1" applyBorder="1" applyAlignment="1">
      <alignment horizontal="center" vertical="center"/>
    </xf>
    <xf numFmtId="164" fontId="68" fillId="7" borderId="19" xfId="0" applyNumberFormat="1" applyFont="1" applyFill="1" applyBorder="1" applyAlignment="1">
      <alignment vertical="center"/>
    </xf>
    <xf numFmtId="0" fontId="69" fillId="7" borderId="19" xfId="0" applyFont="1" applyFill="1" applyBorder="1" applyAlignment="1">
      <alignment horizontal="center" vertical="center"/>
    </xf>
    <xf numFmtId="2" fontId="66" fillId="8" borderId="19" xfId="0" applyNumberFormat="1" applyFont="1" applyFill="1" applyBorder="1" applyAlignment="1">
      <alignment horizontal="center" vertical="center" wrapText="1"/>
    </xf>
    <xf numFmtId="0" fontId="66" fillId="8" borderId="19" xfId="0" applyFont="1" applyFill="1" applyBorder="1" applyAlignment="1">
      <alignment horizontal="center" vertical="center" wrapText="1"/>
    </xf>
    <xf numFmtId="49" fontId="68" fillId="6" borderId="19" xfId="0" applyNumberFormat="1" applyFont="1" applyFill="1" applyBorder="1" applyAlignment="1">
      <alignment horizontal="right" vertical="center"/>
    </xf>
    <xf numFmtId="2" fontId="68" fillId="6" borderId="19" xfId="0" applyNumberFormat="1" applyFont="1" applyFill="1" applyBorder="1" applyAlignment="1">
      <alignment horizontal="right" vertical="center"/>
    </xf>
    <xf numFmtId="0" fontId="66" fillId="0" borderId="41" xfId="0" applyFont="1" applyBorder="1" applyAlignment="1">
      <alignment vertical="center" wrapText="1"/>
    </xf>
    <xf numFmtId="0" fontId="66" fillId="7" borderId="41" xfId="0" applyFont="1" applyFill="1" applyBorder="1" applyAlignment="1">
      <alignment vertical="center" wrapText="1"/>
    </xf>
    <xf numFmtId="4" fontId="70" fillId="0" borderId="19" xfId="0" applyNumberFormat="1" applyFont="1" applyFill="1" applyBorder="1" applyAlignment="1">
      <alignment horizontal="center" vertical="center" wrapText="1"/>
    </xf>
    <xf numFmtId="4" fontId="70" fillId="7" borderId="19" xfId="0" applyNumberFormat="1" applyFont="1" applyFill="1" applyBorder="1" applyAlignment="1">
      <alignment horizontal="center" vertical="center" wrapText="1"/>
    </xf>
    <xf numFmtId="2" fontId="66" fillId="8" borderId="19" xfId="0" applyNumberFormat="1" applyFont="1" applyFill="1" applyBorder="1" applyAlignment="1">
      <alignment horizontal="center" vertical="center"/>
    </xf>
    <xf numFmtId="164" fontId="68" fillId="8" borderId="19" xfId="0" applyNumberFormat="1" applyFont="1" applyFill="1" applyBorder="1" applyAlignment="1">
      <alignment vertical="center"/>
    </xf>
    <xf numFmtId="0" fontId="71" fillId="6" borderId="41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/>
    </xf>
    <xf numFmtId="0" fontId="69" fillId="5" borderId="19" xfId="0" applyFont="1" applyFill="1" applyBorder="1" applyAlignment="1">
      <alignment horizontal="center" vertical="center"/>
    </xf>
    <xf numFmtId="2" fontId="66" fillId="5" borderId="19" xfId="0" applyNumberFormat="1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 wrapText="1"/>
    </xf>
    <xf numFmtId="0" fontId="72" fillId="6" borderId="19" xfId="0" applyFont="1" applyFill="1" applyBorder="1" applyAlignment="1">
      <alignment horizontal="center" vertical="center" wrapText="1"/>
    </xf>
    <xf numFmtId="0" fontId="4" fillId="6" borderId="80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vertical="center" wrapText="1"/>
    </xf>
    <xf numFmtId="0" fontId="67" fillId="5" borderId="19" xfId="0" applyFont="1" applyFill="1" applyBorder="1" applyAlignment="1">
      <alignment vertical="center"/>
    </xf>
    <xf numFmtId="0" fontId="4" fillId="6" borderId="19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66" fillId="8" borderId="42" xfId="0" applyFont="1" applyFill="1" applyBorder="1" applyAlignment="1">
      <alignment horizontal="center" vertical="center" wrapText="1"/>
    </xf>
    <xf numFmtId="0" fontId="66" fillId="8" borderId="72" xfId="0" applyFont="1" applyFill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72" xfId="0" applyFont="1" applyBorder="1" applyAlignment="1">
      <alignment horizontal="center" vertical="center" wrapText="1"/>
    </xf>
    <xf numFmtId="0" fontId="66" fillId="0" borderId="68" xfId="0" applyFont="1" applyBorder="1" applyAlignment="1">
      <alignment horizontal="center" vertical="center" wrapText="1"/>
    </xf>
    <xf numFmtId="0" fontId="66" fillId="7" borderId="42" xfId="0" applyFont="1" applyFill="1" applyBorder="1" applyAlignment="1">
      <alignment horizontal="center" vertical="center" wrapText="1"/>
    </xf>
    <xf numFmtId="0" fontId="66" fillId="7" borderId="34" xfId="0" applyFont="1" applyFill="1" applyBorder="1" applyAlignment="1">
      <alignment horizontal="center" vertical="center" wrapText="1"/>
    </xf>
    <xf numFmtId="0" fontId="66" fillId="7" borderId="72" xfId="0" applyFont="1" applyFill="1" applyBorder="1" applyAlignment="1">
      <alignment horizontal="center" vertical="center" wrapText="1"/>
    </xf>
    <xf numFmtId="0" fontId="66" fillId="7" borderId="68" xfId="0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80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7" borderId="17" xfId="0" applyFont="1" applyFill="1" applyBorder="1" applyAlignment="1">
      <alignment horizontal="center" vertical="center" wrapText="1"/>
    </xf>
    <xf numFmtId="0" fontId="66" fillId="7" borderId="0" xfId="0" applyFont="1" applyFill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58" xfId="0" applyFont="1" applyBorder="1" applyAlignment="1">
      <alignment horizontal="center" vertical="center" wrapText="1"/>
    </xf>
    <xf numFmtId="0" fontId="66" fillId="7" borderId="20" xfId="0" applyFont="1" applyFill="1" applyBorder="1" applyAlignment="1">
      <alignment horizontal="center" vertical="center" wrapText="1"/>
    </xf>
    <xf numFmtId="0" fontId="66" fillId="7" borderId="80" xfId="0" applyFont="1" applyFill="1" applyBorder="1" applyAlignment="1">
      <alignment horizontal="center" vertical="center" wrapText="1"/>
    </xf>
    <xf numFmtId="0" fontId="66" fillId="7" borderId="22" xfId="0" applyFont="1" applyFill="1" applyBorder="1" applyAlignment="1">
      <alignment horizontal="center" vertical="center" wrapText="1"/>
    </xf>
    <xf numFmtId="0" fontId="72" fillId="6" borderId="40" xfId="0" applyFont="1" applyFill="1" applyBorder="1" applyAlignment="1">
      <alignment horizontal="center" vertical="center" wrapText="1"/>
    </xf>
    <xf numFmtId="0" fontId="66" fillId="7" borderId="19" xfId="0" applyFont="1" applyFill="1" applyBorder="1" applyAlignment="1">
      <alignment horizontal="center" vertical="center" wrapText="1"/>
    </xf>
    <xf numFmtId="0" fontId="66" fillId="7" borderId="19" xfId="0" applyFont="1" applyFill="1" applyBorder="1" applyAlignment="1">
      <alignment horizontal="center" vertical="center"/>
    </xf>
    <xf numFmtId="0" fontId="66" fillId="7" borderId="19" xfId="0" applyFont="1" applyFill="1" applyBorder="1" applyAlignment="1">
      <alignment vertical="center" wrapText="1"/>
    </xf>
    <xf numFmtId="43" fontId="68" fillId="6" borderId="19" xfId="2" applyNumberFormat="1" applyFont="1" applyFill="1" applyBorder="1" applyAlignment="1">
      <alignment horizontal="right" vertical="center" wrapText="1"/>
    </xf>
    <xf numFmtId="164" fontId="68" fillId="0" borderId="19" xfId="0" applyNumberFormat="1" applyFont="1" applyBorder="1" applyAlignment="1">
      <alignment vertical="center"/>
    </xf>
    <xf numFmtId="0" fontId="66" fillId="0" borderId="19" xfId="0" applyFont="1" applyBorder="1" applyAlignment="1">
      <alignment vertical="center" wrapText="1"/>
    </xf>
    <xf numFmtId="0" fontId="72" fillId="6" borderId="20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66" fillId="7" borderId="41" xfId="0" applyFont="1" applyFill="1" applyBorder="1" applyAlignment="1">
      <alignment horizontal="center" vertical="center" wrapText="1"/>
    </xf>
    <xf numFmtId="0" fontId="66" fillId="7" borderId="58" xfId="0" applyFont="1" applyFill="1" applyBorder="1" applyAlignment="1">
      <alignment horizontal="center" vertical="center" wrapText="1"/>
    </xf>
    <xf numFmtId="0" fontId="66" fillId="8" borderId="41" xfId="0" applyFont="1" applyFill="1" applyBorder="1" applyAlignment="1">
      <alignment horizontal="center" vertical="center" wrapText="1"/>
    </xf>
    <xf numFmtId="0" fontId="66" fillId="8" borderId="19" xfId="0" applyFont="1" applyFill="1" applyBorder="1" applyAlignment="1">
      <alignment horizontal="center" vertical="center"/>
    </xf>
    <xf numFmtId="0" fontId="66" fillId="8" borderId="20" xfId="0" applyFont="1" applyFill="1" applyBorder="1" applyAlignment="1">
      <alignment horizontal="center" vertical="center" wrapText="1"/>
    </xf>
    <xf numFmtId="0" fontId="66" fillId="8" borderId="80" xfId="0" applyFont="1" applyFill="1" applyBorder="1" applyAlignment="1">
      <alignment horizontal="center" vertical="center" wrapText="1"/>
    </xf>
    <xf numFmtId="0" fontId="69" fillId="8" borderId="19" xfId="0" applyFont="1" applyFill="1" applyBorder="1" applyAlignment="1">
      <alignment horizontal="center" vertical="center"/>
    </xf>
    <xf numFmtId="4" fontId="70" fillId="8" borderId="19" xfId="0" applyNumberFormat="1" applyFont="1" applyFill="1" applyBorder="1" applyAlignment="1">
      <alignment horizontal="center" vertical="center" wrapText="1"/>
    </xf>
    <xf numFmtId="0" fontId="66" fillId="8" borderId="22" xfId="0" applyFont="1" applyFill="1" applyBorder="1" applyAlignment="1">
      <alignment horizontal="center" vertical="center" wrapText="1"/>
    </xf>
    <xf numFmtId="0" fontId="66" fillId="5" borderId="22" xfId="0" applyFont="1" applyFill="1" applyBorder="1" applyAlignment="1">
      <alignment horizontal="center" vertical="center" wrapText="1"/>
    </xf>
    <xf numFmtId="0" fontId="66" fillId="5" borderId="41" xfId="0" applyFont="1" applyFill="1" applyBorder="1" applyAlignment="1">
      <alignment horizontal="center" vertical="center" wrapText="1"/>
    </xf>
    <xf numFmtId="0" fontId="66" fillId="5" borderId="72" xfId="0" applyFont="1" applyFill="1" applyBorder="1" applyAlignment="1">
      <alignment horizontal="center" vertical="center" wrapText="1"/>
    </xf>
    <xf numFmtId="0" fontId="66" fillId="5" borderId="19" xfId="0" applyFont="1" applyFill="1" applyBorder="1" applyAlignment="1">
      <alignment horizontal="center" vertical="center"/>
    </xf>
    <xf numFmtId="0" fontId="66" fillId="7" borderId="19" xfId="0" applyFont="1" applyFill="1" applyBorder="1" applyAlignment="1">
      <alignment vertical="center"/>
    </xf>
    <xf numFmtId="0" fontId="66" fillId="0" borderId="19" xfId="0" applyFont="1" applyBorder="1" applyAlignment="1">
      <alignment vertical="center" wrapText="1"/>
    </xf>
    <xf numFmtId="0" fontId="66" fillId="7" borderId="19" xfId="0" applyFont="1" applyFill="1" applyBorder="1" applyAlignment="1">
      <alignment horizontal="center" vertical="center"/>
    </xf>
    <xf numFmtId="0" fontId="66" fillId="7" borderId="19" xfId="0" applyFont="1" applyFill="1" applyBorder="1" applyAlignment="1">
      <alignment vertical="center" wrapText="1"/>
    </xf>
    <xf numFmtId="0" fontId="66" fillId="8" borderId="19" xfId="0" applyFont="1" applyFill="1" applyBorder="1" applyAlignment="1">
      <alignment horizontal="center" vertical="center"/>
    </xf>
    <xf numFmtId="4" fontId="68" fillId="8" borderId="19" xfId="0" applyNumberFormat="1" applyFont="1" applyFill="1" applyBorder="1" applyAlignment="1">
      <alignment horizontal="right" vertical="center"/>
    </xf>
    <xf numFmtId="4" fontId="68" fillId="7" borderId="19" xfId="0" applyNumberFormat="1" applyFont="1" applyFill="1" applyBorder="1" applyAlignment="1">
      <alignment horizontal="right" vertical="center"/>
    </xf>
    <xf numFmtId="0" fontId="67" fillId="6" borderId="19" xfId="0" applyFont="1" applyFill="1" applyBorder="1" applyAlignment="1">
      <alignment vertical="center" wrapText="1"/>
    </xf>
    <xf numFmtId="43" fontId="68" fillId="7" borderId="19" xfId="2" applyNumberFormat="1" applyFont="1" applyFill="1" applyBorder="1" applyAlignment="1">
      <alignment horizontal="right" vertical="center" wrapText="1"/>
    </xf>
    <xf numFmtId="164" fontId="74" fillId="6" borderId="19" xfId="0" applyNumberFormat="1" applyFont="1" applyFill="1" applyBorder="1" applyAlignment="1">
      <alignment vertical="center"/>
    </xf>
    <xf numFmtId="0" fontId="4" fillId="5" borderId="19" xfId="0" applyFont="1" applyFill="1" applyBorder="1" applyAlignment="1">
      <alignment horizontal="left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58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72" xfId="0" applyFont="1" applyBorder="1" applyAlignment="1">
      <alignment horizontal="center" vertical="center" wrapText="1"/>
    </xf>
    <xf numFmtId="0" fontId="66" fillId="0" borderId="68" xfId="0" applyFont="1" applyBorder="1" applyAlignment="1">
      <alignment horizontal="center" vertical="center" wrapText="1"/>
    </xf>
    <xf numFmtId="0" fontId="66" fillId="7" borderId="42" xfId="0" applyFont="1" applyFill="1" applyBorder="1" applyAlignment="1">
      <alignment horizontal="center" vertical="center" wrapText="1"/>
    </xf>
    <xf numFmtId="0" fontId="66" fillId="7" borderId="34" xfId="0" applyFont="1" applyFill="1" applyBorder="1" applyAlignment="1">
      <alignment horizontal="center" vertical="center" wrapText="1"/>
    </xf>
    <xf numFmtId="0" fontId="66" fillId="7" borderId="17" xfId="0" applyFont="1" applyFill="1" applyBorder="1" applyAlignment="1">
      <alignment horizontal="center" vertical="center" wrapText="1"/>
    </xf>
    <xf numFmtId="0" fontId="66" fillId="7" borderId="0" xfId="0" applyFont="1" applyFill="1" applyBorder="1" applyAlignment="1">
      <alignment horizontal="center" vertical="center" wrapText="1"/>
    </xf>
    <xf numFmtId="0" fontId="66" fillId="7" borderId="72" xfId="0" applyFont="1" applyFill="1" applyBorder="1" applyAlignment="1">
      <alignment horizontal="center" vertical="center" wrapText="1"/>
    </xf>
    <xf numFmtId="0" fontId="66" fillId="7" borderId="68" xfId="0" applyFont="1" applyFill="1" applyBorder="1" applyAlignment="1">
      <alignment horizontal="center" vertical="center" wrapText="1"/>
    </xf>
    <xf numFmtId="0" fontId="66" fillId="8" borderId="42" xfId="0" applyFont="1" applyFill="1" applyBorder="1" applyAlignment="1">
      <alignment horizontal="center" vertical="center" wrapText="1"/>
    </xf>
    <xf numFmtId="0" fontId="66" fillId="8" borderId="72" xfId="0" applyFont="1" applyFill="1" applyBorder="1" applyAlignment="1">
      <alignment horizontal="center" vertical="center" wrapText="1"/>
    </xf>
    <xf numFmtId="0" fontId="66" fillId="5" borderId="41" xfId="0" applyFont="1" applyFill="1" applyBorder="1" applyAlignment="1">
      <alignment horizontal="center" vertical="center" wrapText="1"/>
    </xf>
    <xf numFmtId="0" fontId="66" fillId="7" borderId="41" xfId="0" applyFont="1" applyFill="1" applyBorder="1" applyAlignment="1">
      <alignment horizontal="center" vertical="center" wrapText="1"/>
    </xf>
    <xf numFmtId="0" fontId="66" fillId="7" borderId="58" xfId="0" applyFont="1" applyFill="1" applyBorder="1" applyAlignment="1">
      <alignment horizontal="center" vertical="center" wrapText="1"/>
    </xf>
    <xf numFmtId="0" fontId="66" fillId="8" borderId="41" xfId="0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/>
    </xf>
    <xf numFmtId="0" fontId="66" fillId="0" borderId="19" xfId="0" applyFont="1" applyBorder="1" applyAlignment="1">
      <alignment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7" borderId="19" xfId="0" applyFont="1" applyFill="1" applyBorder="1" applyAlignment="1">
      <alignment horizontal="center" vertical="center"/>
    </xf>
    <xf numFmtId="0" fontId="66" fillId="7" borderId="19" xfId="0" applyFont="1" applyFill="1" applyBorder="1" applyAlignment="1">
      <alignment vertical="center" wrapText="1"/>
    </xf>
    <xf numFmtId="0" fontId="66" fillId="7" borderId="20" xfId="0" applyFont="1" applyFill="1" applyBorder="1" applyAlignment="1">
      <alignment horizontal="center" vertical="center" wrapText="1"/>
    </xf>
    <xf numFmtId="0" fontId="66" fillId="7" borderId="80" xfId="0" applyFont="1" applyFill="1" applyBorder="1" applyAlignment="1">
      <alignment horizontal="center" vertical="center" wrapText="1"/>
    </xf>
    <xf numFmtId="0" fontId="66" fillId="7" borderId="22" xfId="0" applyFont="1" applyFill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80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72" fillId="6" borderId="20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66" fillId="7" borderId="19" xfId="0" applyFont="1" applyFill="1" applyBorder="1" applyAlignment="1">
      <alignment horizontal="center" vertical="center" wrapText="1"/>
    </xf>
    <xf numFmtId="0" fontId="66" fillId="8" borderId="19" xfId="0" applyFont="1" applyFill="1" applyBorder="1" applyAlignment="1">
      <alignment horizontal="center" vertical="center"/>
    </xf>
    <xf numFmtId="0" fontId="66" fillId="8" borderId="20" xfId="0" applyFont="1" applyFill="1" applyBorder="1" applyAlignment="1">
      <alignment horizontal="center" vertical="center" wrapText="1"/>
    </xf>
    <xf numFmtId="0" fontId="66" fillId="8" borderId="80" xfId="0" applyFont="1" applyFill="1" applyBorder="1" applyAlignment="1">
      <alignment horizontal="center" vertical="center" wrapText="1"/>
    </xf>
    <xf numFmtId="0" fontId="66" fillId="8" borderId="22" xfId="0" applyFont="1" applyFill="1" applyBorder="1" applyAlignment="1">
      <alignment horizontal="center" vertical="center" wrapText="1"/>
    </xf>
    <xf numFmtId="164" fontId="68" fillId="0" borderId="19" xfId="0" applyNumberFormat="1" applyFont="1" applyBorder="1" applyAlignment="1">
      <alignment vertical="center"/>
    </xf>
    <xf numFmtId="43" fontId="68" fillId="6" borderId="19" xfId="2" applyNumberFormat="1" applyFont="1" applyFill="1" applyBorder="1" applyAlignment="1">
      <alignment horizontal="right" vertical="center" wrapText="1"/>
    </xf>
    <xf numFmtId="0" fontId="72" fillId="6" borderId="40" xfId="0" applyFont="1" applyFill="1" applyBorder="1" applyAlignment="1">
      <alignment horizontal="center" vertical="center" wrapText="1"/>
    </xf>
    <xf numFmtId="164" fontId="74" fillId="6" borderId="19" xfId="0" applyNumberFormat="1" applyFont="1" applyFill="1" applyBorder="1" applyAlignment="1">
      <alignment vertical="center"/>
    </xf>
    <xf numFmtId="0" fontId="71" fillId="6" borderId="41" xfId="0" applyFont="1" applyFill="1" applyBorder="1" applyAlignment="1">
      <alignment horizontal="center" vertical="center" wrapText="1"/>
    </xf>
    <xf numFmtId="43" fontId="68" fillId="6" borderId="19" xfId="2" applyNumberFormat="1" applyFont="1" applyFill="1" applyBorder="1" applyAlignment="1">
      <alignment horizontal="right" vertical="center" wrapText="1"/>
    </xf>
    <xf numFmtId="0" fontId="8" fillId="0" borderId="68" xfId="0" applyFont="1" applyBorder="1" applyAlignment="1"/>
    <xf numFmtId="0" fontId="8" fillId="0" borderId="0" xfId="0" applyFont="1" applyBorder="1" applyAlignment="1"/>
    <xf numFmtId="0" fontId="66" fillId="7" borderId="20" xfId="0" applyFont="1" applyFill="1" applyBorder="1" applyAlignment="1">
      <alignment horizontal="center" vertical="center" wrapText="1"/>
    </xf>
    <xf numFmtId="0" fontId="66" fillId="7" borderId="80" xfId="0" applyFont="1" applyFill="1" applyBorder="1" applyAlignment="1">
      <alignment horizontal="center" vertical="center" wrapText="1"/>
    </xf>
    <xf numFmtId="0" fontId="66" fillId="7" borderId="22" xfId="0" applyFont="1" applyFill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72" xfId="0" applyFont="1" applyBorder="1" applyAlignment="1">
      <alignment horizontal="center" vertical="center" wrapText="1"/>
    </xf>
    <xf numFmtId="0" fontId="66" fillId="0" borderId="68" xfId="0" applyFont="1" applyBorder="1" applyAlignment="1">
      <alignment horizontal="center" vertical="center" wrapText="1"/>
    </xf>
    <xf numFmtId="0" fontId="66" fillId="7" borderId="42" xfId="0" applyFont="1" applyFill="1" applyBorder="1" applyAlignment="1">
      <alignment horizontal="center" vertical="center" wrapText="1"/>
    </xf>
    <xf numFmtId="0" fontId="66" fillId="7" borderId="34" xfId="0" applyFont="1" applyFill="1" applyBorder="1" applyAlignment="1">
      <alignment horizontal="center" vertical="center" wrapText="1"/>
    </xf>
    <xf numFmtId="0" fontId="66" fillId="7" borderId="72" xfId="0" applyFont="1" applyFill="1" applyBorder="1" applyAlignment="1">
      <alignment horizontal="center" vertical="center" wrapText="1"/>
    </xf>
    <xf numFmtId="0" fontId="66" fillId="7" borderId="68" xfId="0" applyFont="1" applyFill="1" applyBorder="1" applyAlignment="1">
      <alignment horizontal="center" vertical="center" wrapText="1"/>
    </xf>
    <xf numFmtId="0" fontId="66" fillId="7" borderId="19" xfId="0" applyFont="1" applyFill="1" applyBorder="1" applyAlignment="1">
      <alignment horizontal="center" vertical="center"/>
    </xf>
    <xf numFmtId="0" fontId="66" fillId="7" borderId="19" xfId="0" applyFont="1" applyFill="1" applyBorder="1" applyAlignment="1">
      <alignment vertical="center" wrapText="1"/>
    </xf>
    <xf numFmtId="0" fontId="66" fillId="7" borderId="19" xfId="0" applyFont="1" applyFill="1" applyBorder="1" applyAlignment="1">
      <alignment horizontal="center" vertical="center" wrapText="1"/>
    </xf>
    <xf numFmtId="0" fontId="66" fillId="8" borderId="42" xfId="0" applyFont="1" applyFill="1" applyBorder="1" applyAlignment="1">
      <alignment horizontal="center" vertical="center" wrapText="1"/>
    </xf>
    <xf numFmtId="0" fontId="66" fillId="8" borderId="72" xfId="0" applyFont="1" applyFill="1" applyBorder="1" applyAlignment="1">
      <alignment horizontal="center" vertical="center" wrapText="1"/>
    </xf>
    <xf numFmtId="0" fontId="66" fillId="7" borderId="41" xfId="0" applyFont="1" applyFill="1" applyBorder="1" applyAlignment="1">
      <alignment horizontal="center" vertical="center" wrapText="1"/>
    </xf>
    <xf numFmtId="0" fontId="66" fillId="7" borderId="58" xfId="0" applyFont="1" applyFill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58" xfId="0" applyFont="1" applyBorder="1" applyAlignment="1">
      <alignment horizontal="center" vertical="center" wrapText="1"/>
    </xf>
    <xf numFmtId="0" fontId="66" fillId="7" borderId="17" xfId="0" applyFont="1" applyFill="1" applyBorder="1" applyAlignment="1">
      <alignment horizontal="center" vertical="center" wrapText="1"/>
    </xf>
    <xf numFmtId="0" fontId="66" fillId="7" borderId="0" xfId="0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/>
    </xf>
    <xf numFmtId="43" fontId="68" fillId="6" borderId="19" xfId="2" applyNumberFormat="1" applyFont="1" applyFill="1" applyBorder="1" applyAlignment="1">
      <alignment horizontal="right" vertical="center" wrapText="1"/>
    </xf>
    <xf numFmtId="0" fontId="66" fillId="0" borderId="80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5" borderId="41" xfId="0" applyFont="1" applyFill="1" applyBorder="1" applyAlignment="1">
      <alignment horizontal="center" vertical="center" wrapText="1"/>
    </xf>
    <xf numFmtId="164" fontId="68" fillId="0" borderId="19" xfId="0" applyNumberFormat="1" applyFont="1" applyBorder="1" applyAlignment="1">
      <alignment vertical="center"/>
    </xf>
    <xf numFmtId="0" fontId="66" fillId="8" borderId="19" xfId="0" applyFont="1" applyFill="1" applyBorder="1" applyAlignment="1">
      <alignment horizontal="center" vertical="center"/>
    </xf>
    <xf numFmtId="0" fontId="66" fillId="8" borderId="20" xfId="0" applyFont="1" applyFill="1" applyBorder="1" applyAlignment="1">
      <alignment horizontal="center" vertical="center" wrapText="1"/>
    </xf>
    <xf numFmtId="0" fontId="66" fillId="8" borderId="80" xfId="0" applyFont="1" applyFill="1" applyBorder="1" applyAlignment="1">
      <alignment horizontal="center" vertical="center" wrapText="1"/>
    </xf>
    <xf numFmtId="0" fontId="66" fillId="8" borderId="22" xfId="0" applyFont="1" applyFill="1" applyBorder="1" applyAlignment="1">
      <alignment horizontal="center" vertical="center" wrapText="1"/>
    </xf>
    <xf numFmtId="0" fontId="66" fillId="8" borderId="4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71" fillId="6" borderId="41" xfId="0" applyFont="1" applyFill="1" applyBorder="1" applyAlignment="1">
      <alignment horizontal="center" vertical="center" wrapText="1"/>
    </xf>
    <xf numFmtId="43" fontId="68" fillId="6" borderId="19" xfId="2" applyNumberFormat="1" applyFont="1" applyFill="1" applyBorder="1" applyAlignment="1">
      <alignment horizontal="right" vertical="center" wrapText="1"/>
    </xf>
    <xf numFmtId="4" fontId="76" fillId="6" borderId="19" xfId="0" applyNumberFormat="1" applyFont="1" applyFill="1" applyBorder="1" applyAlignment="1">
      <alignment horizontal="right" vertical="center"/>
    </xf>
    <xf numFmtId="43" fontId="76" fillId="6" borderId="19" xfId="2" applyNumberFormat="1" applyFont="1" applyFill="1" applyBorder="1" applyAlignment="1">
      <alignment horizontal="right" vertical="center" wrapText="1"/>
    </xf>
    <xf numFmtId="0" fontId="13" fillId="0" borderId="19" xfId="0" applyFont="1" applyBorder="1" applyAlignment="1">
      <alignment vertical="center" wrapText="1"/>
    </xf>
    <xf numFmtId="49" fontId="76" fillId="6" borderId="19" xfId="0" applyNumberFormat="1" applyFont="1" applyFill="1" applyBorder="1" applyAlignment="1">
      <alignment horizontal="right" vertical="center"/>
    </xf>
    <xf numFmtId="2" fontId="76" fillId="6" borderId="19" xfId="0" applyNumberFormat="1" applyFont="1" applyFill="1" applyBorder="1" applyAlignment="1">
      <alignment horizontal="right" vertical="center"/>
    </xf>
    <xf numFmtId="0" fontId="13" fillId="7" borderId="19" xfId="0" applyFont="1" applyFill="1" applyBorder="1" applyAlignment="1">
      <alignment vertical="center" wrapText="1"/>
    </xf>
    <xf numFmtId="0" fontId="67" fillId="6" borderId="42" xfId="0" applyFont="1" applyFill="1" applyBorder="1" applyAlignment="1">
      <alignment horizontal="center" vertical="center" wrapText="1"/>
    </xf>
    <xf numFmtId="0" fontId="78" fillId="6" borderId="40" xfId="0" applyFont="1" applyFill="1" applyBorder="1" applyAlignment="1">
      <alignment horizontal="center" vertical="center" wrapText="1"/>
    </xf>
    <xf numFmtId="0" fontId="78" fillId="6" borderId="19" xfId="0" applyFont="1" applyFill="1" applyBorder="1" applyAlignment="1">
      <alignment horizontal="center" vertical="center" wrapText="1"/>
    </xf>
    <xf numFmtId="0" fontId="67" fillId="6" borderId="80" xfId="0" applyFont="1" applyFill="1" applyBorder="1" applyAlignment="1">
      <alignment horizontal="center" vertical="center" wrapText="1"/>
    </xf>
    <xf numFmtId="0" fontId="78" fillId="6" borderId="20" xfId="0" applyFont="1" applyFill="1" applyBorder="1" applyAlignment="1">
      <alignment horizontal="center" vertical="center" wrapText="1"/>
    </xf>
    <xf numFmtId="0" fontId="67" fillId="6" borderId="19" xfId="0" applyFont="1" applyFill="1" applyBorder="1" applyAlignment="1">
      <alignment horizontal="center" vertical="center"/>
    </xf>
    <xf numFmtId="0" fontId="67" fillId="6" borderId="19" xfId="0" applyFont="1" applyFill="1" applyBorder="1" applyAlignment="1">
      <alignment horizontal="center" vertical="center" wrapText="1"/>
    </xf>
    <xf numFmtId="0" fontId="67" fillId="5" borderId="41" xfId="0" applyFont="1" applyFill="1" applyBorder="1" applyAlignment="1">
      <alignment horizontal="left" vertical="center" wrapText="1"/>
    </xf>
    <xf numFmtId="0" fontId="67" fillId="5" borderId="19" xfId="0" applyFont="1" applyFill="1" applyBorder="1" applyAlignment="1">
      <alignment horizontal="left" vertical="center" wrapText="1"/>
    </xf>
    <xf numFmtId="0" fontId="66" fillId="0" borderId="19" xfId="0" applyFont="1" applyBorder="1" applyAlignment="1">
      <alignment horizontal="center" vertical="center"/>
    </xf>
    <xf numFmtId="0" fontId="66" fillId="7" borderId="19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vertical="center" wrapText="1"/>
    </xf>
    <xf numFmtId="0" fontId="66" fillId="8" borderId="19" xfId="0" applyFont="1" applyFill="1" applyBorder="1" applyAlignment="1">
      <alignment horizontal="center" vertical="center"/>
    </xf>
    <xf numFmtId="43" fontId="68" fillId="6" borderId="19" xfId="2" applyNumberFormat="1" applyFont="1" applyFill="1" applyBorder="1" applyAlignment="1">
      <alignment horizontal="right" vertical="center" wrapText="1"/>
    </xf>
    <xf numFmtId="43" fontId="68" fillId="6" borderId="19" xfId="2" applyNumberFormat="1" applyFont="1" applyFill="1" applyBorder="1" applyAlignment="1">
      <alignment horizontal="righ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66" fillId="7" borderId="20" xfId="0" applyFont="1" applyFill="1" applyBorder="1" applyAlignment="1">
      <alignment horizontal="center" vertical="center" wrapText="1"/>
    </xf>
    <xf numFmtId="0" fontId="66" fillId="7" borderId="80" xfId="0" applyFont="1" applyFill="1" applyBorder="1" applyAlignment="1">
      <alignment horizontal="center" vertical="center" wrapText="1"/>
    </xf>
    <xf numFmtId="0" fontId="66" fillId="7" borderId="22" xfId="0" applyFont="1" applyFill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72" xfId="0" applyFont="1" applyBorder="1" applyAlignment="1">
      <alignment horizontal="center" vertical="center" wrapText="1"/>
    </xf>
    <xf numFmtId="0" fontId="66" fillId="0" borderId="68" xfId="0" applyFont="1" applyBorder="1" applyAlignment="1">
      <alignment horizontal="center" vertical="center" wrapText="1"/>
    </xf>
    <xf numFmtId="0" fontId="66" fillId="7" borderId="42" xfId="0" applyFont="1" applyFill="1" applyBorder="1" applyAlignment="1">
      <alignment horizontal="center" vertical="center" wrapText="1"/>
    </xf>
    <xf numFmtId="0" fontId="66" fillId="7" borderId="34" xfId="0" applyFont="1" applyFill="1" applyBorder="1" applyAlignment="1">
      <alignment horizontal="center" vertical="center" wrapText="1"/>
    </xf>
    <xf numFmtId="0" fontId="66" fillId="7" borderId="72" xfId="0" applyFont="1" applyFill="1" applyBorder="1" applyAlignment="1">
      <alignment horizontal="center" vertical="center" wrapText="1"/>
    </xf>
    <xf numFmtId="0" fontId="66" fillId="7" borderId="68" xfId="0" applyFont="1" applyFill="1" applyBorder="1" applyAlignment="1">
      <alignment horizontal="center" vertical="center" wrapText="1"/>
    </xf>
    <xf numFmtId="0" fontId="66" fillId="7" borderId="17" xfId="0" applyFont="1" applyFill="1" applyBorder="1" applyAlignment="1">
      <alignment horizontal="center" vertical="center" wrapText="1"/>
    </xf>
    <xf numFmtId="0" fontId="66" fillId="7" borderId="0" xfId="0" applyFont="1" applyFill="1" applyBorder="1" applyAlignment="1">
      <alignment horizontal="center" vertical="center" wrapText="1"/>
    </xf>
    <xf numFmtId="0" fontId="66" fillId="8" borderId="42" xfId="0" applyFont="1" applyFill="1" applyBorder="1" applyAlignment="1">
      <alignment horizontal="center" vertical="center" wrapText="1"/>
    </xf>
    <xf numFmtId="0" fontId="66" fillId="8" borderId="72" xfId="0" applyFont="1" applyFill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7" borderId="41" xfId="0" applyFont="1" applyFill="1" applyBorder="1" applyAlignment="1">
      <alignment horizontal="center" vertical="center" wrapText="1"/>
    </xf>
    <xf numFmtId="0" fontId="66" fillId="7" borderId="58" xfId="0" applyFont="1" applyFill="1" applyBorder="1" applyAlignment="1">
      <alignment horizontal="center" vertical="center" wrapText="1"/>
    </xf>
    <xf numFmtId="0" fontId="66" fillId="5" borderId="41" xfId="0" applyFont="1" applyFill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58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80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/>
    </xf>
    <xf numFmtId="43" fontId="68" fillId="6" borderId="19" xfId="2" applyNumberFormat="1" applyFont="1" applyFill="1" applyBorder="1" applyAlignment="1">
      <alignment horizontal="right" vertical="center" wrapText="1"/>
    </xf>
    <xf numFmtId="0" fontId="66" fillId="7" borderId="19" xfId="0" applyFont="1" applyFill="1" applyBorder="1" applyAlignment="1">
      <alignment horizontal="center" vertical="center"/>
    </xf>
    <xf numFmtId="0" fontId="66" fillId="7" borderId="19" xfId="0" applyFont="1" applyFill="1" applyBorder="1" applyAlignment="1">
      <alignment vertical="center" wrapText="1"/>
    </xf>
    <xf numFmtId="0" fontId="66" fillId="7" borderId="19" xfId="0" applyFont="1" applyFill="1" applyBorder="1" applyAlignment="1">
      <alignment horizontal="center" vertical="center" wrapText="1"/>
    </xf>
    <xf numFmtId="164" fontId="68" fillId="0" borderId="19" xfId="0" applyNumberFormat="1" applyFont="1" applyBorder="1" applyAlignment="1">
      <alignment vertical="center"/>
    </xf>
    <xf numFmtId="0" fontId="66" fillId="8" borderId="19" xfId="0" applyFont="1" applyFill="1" applyBorder="1" applyAlignment="1">
      <alignment horizontal="center" vertical="center"/>
    </xf>
    <xf numFmtId="0" fontId="66" fillId="8" borderId="20" xfId="0" applyFont="1" applyFill="1" applyBorder="1" applyAlignment="1">
      <alignment horizontal="center" vertical="center" wrapText="1"/>
    </xf>
    <xf numFmtId="0" fontId="66" fillId="8" borderId="80" xfId="0" applyFont="1" applyFill="1" applyBorder="1" applyAlignment="1">
      <alignment horizontal="center" vertical="center" wrapText="1"/>
    </xf>
    <xf numFmtId="0" fontId="66" fillId="8" borderId="22" xfId="0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vertical="center" wrapText="1"/>
    </xf>
    <xf numFmtId="0" fontId="72" fillId="6" borderId="40" xfId="0" applyFont="1" applyFill="1" applyBorder="1" applyAlignment="1">
      <alignment horizontal="center" vertical="center" wrapText="1"/>
    </xf>
    <xf numFmtId="0" fontId="72" fillId="6" borderId="20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66" fillId="8" borderId="41" xfId="0" applyFont="1" applyFill="1" applyBorder="1" applyAlignment="1">
      <alignment horizontal="center" vertical="center" wrapText="1"/>
    </xf>
    <xf numFmtId="43" fontId="76" fillId="6" borderId="19" xfId="2" applyNumberFormat="1" applyFont="1" applyFill="1" applyBorder="1" applyAlignment="1">
      <alignment horizontal="right" vertical="center" wrapText="1"/>
    </xf>
    <xf numFmtId="0" fontId="67" fillId="6" borderId="19" xfId="0" applyFont="1" applyFill="1" applyBorder="1" applyAlignment="1">
      <alignment horizontal="center" vertical="center" wrapText="1"/>
    </xf>
    <xf numFmtId="168" fontId="76" fillId="6" borderId="19" xfId="2" applyNumberFormat="1" applyFont="1" applyFill="1" applyBorder="1" applyAlignment="1">
      <alignment horizontal="right" vertical="center"/>
    </xf>
    <xf numFmtId="4" fontId="38" fillId="2" borderId="3" xfId="0" applyNumberFormat="1" applyFont="1" applyFill="1" applyBorder="1" applyAlignment="1" applyProtection="1">
      <alignment horizontal="center" vertical="center" wrapText="1"/>
      <protection hidden="1"/>
    </xf>
    <xf numFmtId="4" fontId="38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8" xfId="0" applyFont="1" applyBorder="1" applyAlignment="1" applyProtection="1">
      <alignment horizontal="center" vertical="center" wrapText="1"/>
      <protection hidden="1"/>
    </xf>
    <xf numFmtId="0" fontId="25" fillId="0" borderId="9" xfId="0" applyFont="1" applyBorder="1" applyAlignment="1" applyProtection="1">
      <alignment horizontal="center" vertical="center" wrapText="1"/>
      <protection hidden="1"/>
    </xf>
    <xf numFmtId="0" fontId="25" fillId="0" borderId="15" xfId="0" applyFont="1" applyBorder="1" applyAlignment="1" applyProtection="1">
      <alignment horizontal="center" vertical="center" wrapText="1"/>
      <protection hidden="1"/>
    </xf>
    <xf numFmtId="0" fontId="25" fillId="0" borderId="6" xfId="0" applyFont="1" applyBorder="1" applyAlignment="1" applyProtection="1">
      <alignment horizontal="center" vertical="center" wrapText="1"/>
      <protection hidden="1"/>
    </xf>
    <xf numFmtId="0" fontId="25" fillId="0" borderId="1" xfId="0" applyFont="1" applyBorder="1" applyAlignment="1" applyProtection="1">
      <alignment horizontal="center" vertical="center" wrapText="1"/>
      <protection hidden="1"/>
    </xf>
    <xf numFmtId="0" fontId="25" fillId="0" borderId="10" xfId="0" applyFont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8" fillId="2" borderId="2" xfId="0" applyFont="1" applyFill="1" applyBorder="1" applyAlignment="1" applyProtection="1">
      <alignment horizontal="left" vertical="center"/>
      <protection hidden="1"/>
    </xf>
    <xf numFmtId="0" fontId="0" fillId="0" borderId="5" xfId="0" applyBorder="1" applyProtection="1">
      <protection hidden="1"/>
    </xf>
    <xf numFmtId="0" fontId="0" fillId="0" borderId="11" xfId="0" applyBorder="1" applyProtection="1">
      <protection hidden="1"/>
    </xf>
    <xf numFmtId="4" fontId="25" fillId="0" borderId="3" xfId="0" applyNumberFormat="1" applyFont="1" applyBorder="1" applyAlignment="1" applyProtection="1">
      <alignment horizontal="center" vertical="center" wrapText="1"/>
      <protection hidden="1"/>
    </xf>
    <xf numFmtId="4" fontId="25" fillId="0" borderId="7" xfId="0" applyNumberFormat="1" applyFont="1" applyBorder="1" applyAlignment="1" applyProtection="1">
      <alignment horizontal="center" vertical="center" wrapText="1"/>
      <protection hidden="1"/>
    </xf>
    <xf numFmtId="4" fontId="9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9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9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28" fillId="2" borderId="8" xfId="0" applyFont="1" applyFill="1" applyBorder="1" applyAlignment="1" applyProtection="1">
      <alignment horizontal="left" vertical="center" wrapText="1"/>
      <protection hidden="1"/>
    </xf>
    <xf numFmtId="0" fontId="0" fillId="0" borderId="9" xfId="0" applyBorder="1"/>
    <xf numFmtId="0" fontId="0" fillId="0" borderId="5" xfId="0" applyBorder="1"/>
    <xf numFmtId="0" fontId="0" fillId="0" borderId="11" xfId="0" applyBorder="1"/>
    <xf numFmtId="0" fontId="25" fillId="0" borderId="1" xfId="0" applyFont="1" applyBorder="1" applyAlignment="1" applyProtection="1">
      <alignment horizontal="left" wrapText="1"/>
      <protection hidden="1"/>
    </xf>
    <xf numFmtId="0" fontId="25" fillId="0" borderId="1" xfId="0" applyFont="1" applyBorder="1" applyAlignment="1" applyProtection="1">
      <alignment horizontal="center" wrapText="1"/>
      <protection hidden="1"/>
    </xf>
    <xf numFmtId="0" fontId="33" fillId="0" borderId="0" xfId="0" applyFont="1" applyBorder="1" applyAlignment="1" applyProtection="1">
      <alignment horizontal="center" wrapText="1"/>
      <protection hidden="1"/>
    </xf>
    <xf numFmtId="0" fontId="8" fillId="2" borderId="2" xfId="0" applyFont="1" applyFill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center" vertical="center" wrapText="1"/>
      <protection hidden="1"/>
    </xf>
    <xf numFmtId="0" fontId="8" fillId="2" borderId="11" xfId="0" applyFont="1" applyFill="1" applyBorder="1" applyAlignment="1" applyProtection="1">
      <alignment horizontal="center" vertical="center" wrapText="1"/>
      <protection hidden="1"/>
    </xf>
    <xf numFmtId="0" fontId="8" fillId="2" borderId="28" xfId="0" applyFont="1" applyFill="1" applyBorder="1" applyAlignment="1" applyProtection="1">
      <alignment horizontal="center" vertical="center" wrapText="1"/>
      <protection hidden="1"/>
    </xf>
    <xf numFmtId="0" fontId="8" fillId="2" borderId="47" xfId="0" applyFont="1" applyFill="1" applyBorder="1" applyAlignment="1" applyProtection="1">
      <alignment horizontal="center" vertical="center" wrapText="1"/>
      <protection hidden="1"/>
    </xf>
    <xf numFmtId="0" fontId="8" fillId="2" borderId="48" xfId="0" applyFont="1" applyFill="1" applyBorder="1" applyAlignment="1" applyProtection="1">
      <alignment horizontal="center" vertical="center" wrapText="1"/>
      <protection hidden="1"/>
    </xf>
    <xf numFmtId="0" fontId="26" fillId="0" borderId="60" xfId="0" applyFont="1" applyBorder="1" applyAlignment="1" applyProtection="1">
      <alignment horizontal="left" vertical="top" wrapText="1"/>
      <protection hidden="1"/>
    </xf>
    <xf numFmtId="0" fontId="26" fillId="0" borderId="23" xfId="0" applyFont="1" applyBorder="1" applyAlignment="1" applyProtection="1">
      <alignment horizontal="left" vertical="top" wrapText="1"/>
      <protection hidden="1"/>
    </xf>
    <xf numFmtId="0" fontId="26" fillId="0" borderId="6" xfId="0" applyFont="1" applyBorder="1" applyAlignment="1" applyProtection="1">
      <alignment horizontal="left" vertical="top" wrapText="1"/>
      <protection hidden="1"/>
    </xf>
    <xf numFmtId="0" fontId="26" fillId="0" borderId="10" xfId="0" applyFont="1" applyBorder="1" applyAlignment="1" applyProtection="1">
      <alignment horizontal="left" vertical="top" wrapText="1"/>
      <protection hidden="1"/>
    </xf>
    <xf numFmtId="0" fontId="25" fillId="0" borderId="3" xfId="0" applyFont="1" applyBorder="1" applyAlignment="1" applyProtection="1">
      <alignment horizontal="center" vertical="center" wrapText="1"/>
      <protection hidden="1"/>
    </xf>
    <xf numFmtId="0" fontId="25" fillId="0" borderId="7" xfId="0" applyFont="1" applyBorder="1" applyAlignment="1" applyProtection="1">
      <alignment horizontal="center" vertical="center" wrapText="1"/>
      <protection hidden="1"/>
    </xf>
    <xf numFmtId="0" fontId="31" fillId="0" borderId="3" xfId="0" applyFont="1" applyBorder="1" applyAlignment="1" applyProtection="1">
      <alignment horizontal="center" vertical="center" wrapText="1"/>
      <protection hidden="1"/>
    </xf>
    <xf numFmtId="0" fontId="31" fillId="0" borderId="7" xfId="0" applyFont="1" applyBorder="1" applyAlignment="1" applyProtection="1">
      <alignment horizontal="center" vertical="center" wrapText="1"/>
      <protection hidden="1"/>
    </xf>
    <xf numFmtId="0" fontId="0" fillId="0" borderId="7" xfId="0" applyBorder="1" applyAlignment="1">
      <alignment horizontal="center" vertical="center" wrapText="1"/>
    </xf>
    <xf numFmtId="0" fontId="26" fillId="0" borderId="8" xfId="0" applyFont="1" applyBorder="1" applyAlignment="1" applyProtection="1">
      <alignment horizontal="left" vertical="top" wrapText="1"/>
      <protection hidden="1"/>
    </xf>
    <xf numFmtId="0" fontId="26" fillId="0" borderId="15" xfId="0" applyFont="1" applyBorder="1" applyAlignment="1" applyProtection="1">
      <alignment horizontal="left" vertical="top" wrapText="1"/>
      <protection hidden="1"/>
    </xf>
    <xf numFmtId="0" fontId="26" fillId="0" borderId="2" xfId="0" applyFont="1" applyBorder="1" applyAlignment="1" applyProtection="1">
      <alignment horizontal="left" vertical="top" wrapText="1"/>
      <protection hidden="1"/>
    </xf>
    <xf numFmtId="0" fontId="26" fillId="0" borderId="11" xfId="0" applyFont="1" applyBorder="1" applyAlignment="1" applyProtection="1">
      <alignment horizontal="left" vertical="top" wrapText="1"/>
      <protection hidden="1"/>
    </xf>
    <xf numFmtId="0" fontId="8" fillId="0" borderId="3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25" fillId="2" borderId="3" xfId="0" applyFont="1" applyFill="1" applyBorder="1" applyAlignment="1" applyProtection="1">
      <alignment horizontal="center" vertical="center" wrapText="1"/>
      <protection hidden="1"/>
    </xf>
    <xf numFmtId="0" fontId="25" fillId="2" borderId="7" xfId="0" applyFont="1" applyFill="1" applyBorder="1" applyAlignment="1" applyProtection="1">
      <alignment horizontal="center" vertical="center" wrapText="1"/>
      <protection hidden="1"/>
    </xf>
    <xf numFmtId="4" fontId="38" fillId="2" borderId="31" xfId="0" applyNumberFormat="1" applyFont="1" applyFill="1" applyBorder="1" applyAlignment="1" applyProtection="1">
      <alignment horizontal="right" vertical="center" wrapText="1" indent="1"/>
      <protection hidden="1"/>
    </xf>
    <xf numFmtId="4" fontId="38" fillId="2" borderId="7" xfId="0" applyNumberFormat="1" applyFont="1" applyFill="1" applyBorder="1" applyAlignment="1" applyProtection="1">
      <alignment horizontal="right" vertical="center" wrapText="1" indent="1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8" fillId="0" borderId="31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 wrapText="1"/>
      <protection hidden="1"/>
    </xf>
    <xf numFmtId="0" fontId="17" fillId="0" borderId="31" xfId="0" applyFont="1" applyBorder="1" applyAlignment="1" applyProtection="1">
      <alignment horizontal="center" vertical="center" wrapText="1"/>
      <protection hidden="1"/>
    </xf>
    <xf numFmtId="0" fontId="17" fillId="0" borderId="7" xfId="0" applyFont="1" applyBorder="1" applyAlignment="1" applyProtection="1">
      <alignment horizontal="center" vertical="center" wrapText="1"/>
      <protection hidden="1"/>
    </xf>
    <xf numFmtId="0" fontId="32" fillId="0" borderId="3" xfId="0" applyFont="1" applyBorder="1" applyAlignment="1" applyProtection="1">
      <alignment horizontal="center" vertical="center" wrapText="1"/>
      <protection hidden="1"/>
    </xf>
    <xf numFmtId="0" fontId="32" fillId="0" borderId="7" xfId="0" applyFont="1" applyBorder="1" applyAlignment="1" applyProtection="1">
      <alignment horizontal="center" vertical="center" wrapText="1"/>
      <protection hidden="1"/>
    </xf>
    <xf numFmtId="2" fontId="14" fillId="2" borderId="9" xfId="0" applyNumberFormat="1" applyFont="1" applyFill="1" applyBorder="1" applyAlignment="1" applyProtection="1">
      <alignment horizontal="center" vertical="center" wrapText="1"/>
      <protection hidden="1"/>
    </xf>
    <xf numFmtId="2" fontId="14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15" xfId="0" applyFont="1" applyFill="1" applyBorder="1" applyAlignment="1" applyProtection="1">
      <alignment horizontal="center" vertical="center" wrapText="1"/>
      <protection hidden="1"/>
    </xf>
    <xf numFmtId="0" fontId="31" fillId="0" borderId="23" xfId="0" applyFont="1" applyFill="1" applyBorder="1" applyAlignment="1" applyProtection="1">
      <alignment horizontal="center" vertical="center" wrapText="1"/>
      <protection hidden="1"/>
    </xf>
    <xf numFmtId="0" fontId="31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8" xfId="0" applyFont="1" applyFill="1" applyBorder="1" applyAlignment="1" applyProtection="1">
      <alignment horizontal="left" vertical="top" wrapText="1"/>
      <protection hidden="1"/>
    </xf>
    <xf numFmtId="0" fontId="9" fillId="0" borderId="15" xfId="0" applyFont="1" applyFill="1" applyBorder="1" applyAlignment="1" applyProtection="1">
      <alignment horizontal="left" vertical="top"/>
      <protection hidden="1"/>
    </xf>
    <xf numFmtId="0" fontId="9" fillId="0" borderId="60" xfId="0" applyFont="1" applyFill="1" applyBorder="1" applyAlignment="1" applyProtection="1">
      <alignment horizontal="left" vertical="top"/>
      <protection hidden="1"/>
    </xf>
    <xf numFmtId="0" fontId="9" fillId="0" borderId="23" xfId="0" applyFont="1" applyFill="1" applyBorder="1" applyAlignment="1" applyProtection="1">
      <alignment horizontal="left" vertical="top"/>
      <protection hidden="1"/>
    </xf>
    <xf numFmtId="0" fontId="9" fillId="0" borderId="6" xfId="0" applyFont="1" applyFill="1" applyBorder="1" applyAlignment="1" applyProtection="1">
      <alignment horizontal="left" vertical="top"/>
      <protection hidden="1"/>
    </xf>
    <xf numFmtId="0" fontId="9" fillId="0" borderId="10" xfId="0" applyFont="1" applyFill="1" applyBorder="1" applyAlignment="1" applyProtection="1">
      <alignment horizontal="left" vertical="top"/>
      <protection hidden="1"/>
    </xf>
    <xf numFmtId="2" fontId="14" fillId="2" borderId="49" xfId="0" applyNumberFormat="1" applyFont="1" applyFill="1" applyBorder="1" applyAlignment="1" applyProtection="1">
      <alignment horizontal="center" wrapText="1"/>
      <protection hidden="1"/>
    </xf>
    <xf numFmtId="2" fontId="14" fillId="2" borderId="57" xfId="0" applyNumberFormat="1" applyFont="1" applyFill="1" applyBorder="1" applyAlignment="1" applyProtection="1">
      <alignment horizontal="center" wrapText="1"/>
      <protection hidden="1"/>
    </xf>
    <xf numFmtId="0" fontId="25" fillId="2" borderId="31" xfId="0" applyFont="1" applyFill="1" applyBorder="1" applyAlignment="1" applyProtection="1">
      <alignment horizontal="center" vertical="center" wrapText="1"/>
      <protection hidden="1"/>
    </xf>
    <xf numFmtId="0" fontId="17" fillId="0" borderId="8" xfId="0" applyFont="1" applyBorder="1" applyAlignment="1" applyProtection="1">
      <alignment horizontal="center" vertical="center" wrapText="1"/>
      <protection hidden="1"/>
    </xf>
    <xf numFmtId="0" fontId="17" fillId="0" borderId="60" xfId="0" applyFont="1" applyBorder="1" applyAlignment="1" applyProtection="1">
      <alignment horizontal="center" vertical="center" wrapText="1"/>
      <protection hidden="1"/>
    </xf>
    <xf numFmtId="0" fontId="17" fillId="0" borderId="6" xfId="0" applyFont="1" applyBorder="1" applyAlignment="1" applyProtection="1">
      <alignment horizontal="center" vertical="center" wrapText="1"/>
      <protection hidden="1"/>
    </xf>
    <xf numFmtId="0" fontId="9" fillId="2" borderId="2" xfId="0" applyFont="1" applyFill="1" applyBorder="1" applyAlignment="1" applyProtection="1">
      <alignment horizontal="center" vertical="center" wrapText="1"/>
      <protection hidden="1"/>
    </xf>
    <xf numFmtId="0" fontId="25" fillId="0" borderId="11" xfId="0" applyFont="1" applyBorder="1" applyAlignment="1" applyProtection="1">
      <alignment horizontal="center" vertical="center"/>
      <protection hidden="1"/>
    </xf>
    <xf numFmtId="4" fontId="25" fillId="0" borderId="8" xfId="0" applyNumberFormat="1" applyFont="1" applyBorder="1" applyAlignment="1" applyProtection="1">
      <alignment horizontal="center" vertical="center" wrapText="1"/>
      <protection hidden="1"/>
    </xf>
    <xf numFmtId="4" fontId="25" fillId="0" borderId="6" xfId="0" applyNumberFormat="1" applyFont="1" applyBorder="1" applyAlignment="1" applyProtection="1">
      <alignment horizontal="center" vertical="center" wrapText="1"/>
      <protection hidden="1"/>
    </xf>
    <xf numFmtId="4" fontId="25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1" xfId="0" applyFont="1" applyBorder="1" applyAlignment="1" applyProtection="1">
      <alignment horizontal="center" vertical="center" wrapText="1"/>
      <protection hidden="1"/>
    </xf>
    <xf numFmtId="0" fontId="31" fillId="0" borderId="31" xfId="0" applyFont="1" applyBorder="1" applyAlignment="1" applyProtection="1">
      <alignment horizontal="center" vertical="justify" wrapText="1"/>
      <protection hidden="1"/>
    </xf>
    <xf numFmtId="0" fontId="31" fillId="0" borderId="7" xfId="0" applyFont="1" applyBorder="1" applyAlignment="1" applyProtection="1">
      <alignment horizontal="center" vertical="justify" wrapText="1"/>
      <protection hidden="1"/>
    </xf>
    <xf numFmtId="9" fontId="25" fillId="0" borderId="41" xfId="0" applyNumberFormat="1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0" fontId="8" fillId="2" borderId="5" xfId="0" applyFont="1" applyFill="1" applyBorder="1" applyAlignment="1" applyProtection="1">
      <alignment horizontal="left" vertical="center"/>
      <protection hidden="1"/>
    </xf>
    <xf numFmtId="0" fontId="8" fillId="2" borderId="11" xfId="0" applyFont="1" applyFill="1" applyBorder="1" applyAlignment="1" applyProtection="1">
      <alignment horizontal="left" vertical="center"/>
      <protection hidden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25" fillId="0" borderId="54" xfId="0" applyFont="1" applyBorder="1" applyAlignment="1" applyProtection="1">
      <alignment horizontal="center" vertical="center" wrapText="1"/>
      <protection hidden="1"/>
    </xf>
    <xf numFmtId="0" fontId="25" fillId="0" borderId="52" xfId="0" applyFont="1" applyBorder="1" applyAlignment="1" applyProtection="1">
      <alignment horizontal="center" vertical="center" wrapText="1"/>
      <protection hidden="1"/>
    </xf>
    <xf numFmtId="0" fontId="25" fillId="0" borderId="53" xfId="0" applyFont="1" applyBorder="1" applyAlignment="1" applyProtection="1">
      <alignment horizontal="center" vertical="center" wrapText="1"/>
      <protection hidden="1"/>
    </xf>
    <xf numFmtId="0" fontId="25" fillId="0" borderId="2" xfId="0" applyFont="1" applyBorder="1" applyAlignment="1" applyProtection="1">
      <alignment horizontal="center" vertical="center" wrapText="1"/>
      <protection hidden="1"/>
    </xf>
    <xf numFmtId="0" fontId="25" fillId="0" borderId="5" xfId="0" applyFont="1" applyBorder="1" applyAlignment="1" applyProtection="1">
      <alignment horizontal="center" vertical="center" wrapText="1"/>
      <protection hidden="1"/>
    </xf>
    <xf numFmtId="0" fontId="25" fillId="0" borderId="40" xfId="0" applyFont="1" applyBorder="1" applyAlignment="1">
      <alignment horizontal="center"/>
    </xf>
    <xf numFmtId="0" fontId="0" fillId="0" borderId="10" xfId="0" applyBorder="1" applyAlignment="1" applyProtection="1">
      <protection hidden="1"/>
    </xf>
    <xf numFmtId="0" fontId="25" fillId="0" borderId="28" xfId="0" applyFont="1" applyBorder="1" applyAlignment="1" applyProtection="1">
      <alignment horizontal="center" vertical="center" wrapText="1"/>
      <protection hidden="1"/>
    </xf>
    <xf numFmtId="0" fontId="25" fillId="0" borderId="47" xfId="0" applyFont="1" applyBorder="1" applyAlignment="1" applyProtection="1">
      <alignment horizontal="center" vertical="center" wrapText="1"/>
      <protection hidden="1"/>
    </xf>
    <xf numFmtId="0" fontId="25" fillId="0" borderId="59" xfId="0" applyFont="1" applyBorder="1" applyAlignment="1" applyProtection="1">
      <alignment horizontal="center" vertical="center" wrapText="1"/>
      <protection hidden="1"/>
    </xf>
    <xf numFmtId="9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2" borderId="49" xfId="0" applyFont="1" applyFill="1" applyBorder="1" applyAlignment="1" applyProtection="1">
      <alignment horizontal="center" vertical="center" wrapText="1"/>
      <protection hidden="1"/>
    </xf>
    <xf numFmtId="0" fontId="25" fillId="2" borderId="50" xfId="0" applyFont="1" applyFill="1" applyBorder="1" applyAlignment="1" applyProtection="1">
      <alignment horizontal="center" vertical="center" wrapText="1"/>
      <protection hidden="1"/>
    </xf>
    <xf numFmtId="0" fontId="15" fillId="0" borderId="55" xfId="0" applyFont="1" applyBorder="1" applyAlignment="1" applyProtection="1">
      <alignment horizontal="center" vertical="center" wrapText="1"/>
      <protection hidden="1"/>
    </xf>
    <xf numFmtId="0" fontId="15" fillId="0" borderId="43" xfId="0" applyFont="1" applyBorder="1" applyAlignment="1" applyProtection="1">
      <alignment horizontal="center" vertical="center" wrapText="1"/>
      <protection hidden="1"/>
    </xf>
    <xf numFmtId="0" fontId="15" fillId="0" borderId="56" xfId="0" applyFont="1" applyBorder="1" applyAlignment="1" applyProtection="1">
      <alignment horizontal="center" vertical="center" wrapText="1"/>
      <protection hidden="1"/>
    </xf>
    <xf numFmtId="9" fontId="25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5" fillId="0" borderId="19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" fontId="38" fillId="2" borderId="32" xfId="0" applyNumberFormat="1" applyFont="1" applyFill="1" applyBorder="1" applyAlignment="1" applyProtection="1">
      <alignment horizontal="right" vertical="center" wrapText="1" indent="1"/>
      <protection hidden="1"/>
    </xf>
    <xf numFmtId="4" fontId="38" fillId="2" borderId="46" xfId="0" applyNumberFormat="1" applyFont="1" applyFill="1" applyBorder="1" applyAlignment="1" applyProtection="1">
      <alignment horizontal="right" vertical="center" wrapText="1" indent="1"/>
      <protection hidden="1"/>
    </xf>
    <xf numFmtId="4" fontId="13" fillId="0" borderId="28" xfId="0" applyNumberFormat="1" applyFont="1" applyBorder="1" applyAlignment="1" applyProtection="1">
      <alignment horizontal="center" vertical="center" wrapText="1"/>
      <protection hidden="1"/>
    </xf>
    <xf numFmtId="4" fontId="13" fillId="0" borderId="47" xfId="0" applyNumberFormat="1" applyFont="1" applyBorder="1" applyAlignment="1" applyProtection="1">
      <alignment horizontal="center" vertical="center" wrapText="1"/>
      <protection hidden="1"/>
    </xf>
    <xf numFmtId="4" fontId="13" fillId="0" borderId="48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>
      <alignment horizontal="center" vertical="center" wrapText="1"/>
    </xf>
    <xf numFmtId="0" fontId="15" fillId="0" borderId="28" xfId="0" applyFont="1" applyBorder="1" applyAlignment="1" applyProtection="1">
      <alignment horizontal="center" vertical="center" wrapText="1"/>
      <protection hidden="1"/>
    </xf>
    <xf numFmtId="0" fontId="15" fillId="0" borderId="47" xfId="0" applyFont="1" applyBorder="1" applyAlignment="1" applyProtection="1">
      <alignment horizontal="center" vertical="center" wrapText="1"/>
      <protection hidden="1"/>
    </xf>
    <xf numFmtId="0" fontId="15" fillId="0" borderId="48" xfId="0" applyFont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left" vertical="center"/>
      <protection hidden="1"/>
    </xf>
    <xf numFmtId="0" fontId="8" fillId="2" borderId="9" xfId="0" applyFont="1" applyFill="1" applyBorder="1" applyAlignment="1" applyProtection="1">
      <alignment horizontal="left" vertical="center"/>
      <protection hidden="1"/>
    </xf>
    <xf numFmtId="4" fontId="38" fillId="2" borderId="3" xfId="0" applyNumberFormat="1" applyFont="1" applyFill="1" applyBorder="1" applyAlignment="1" applyProtection="1">
      <alignment horizontal="right" vertical="center" wrapText="1"/>
      <protection hidden="1"/>
    </xf>
    <xf numFmtId="4" fontId="38" fillId="2" borderId="7" xfId="0" applyNumberFormat="1" applyFont="1" applyFill="1" applyBorder="1" applyAlignment="1" applyProtection="1">
      <alignment horizontal="right" vertical="center" wrapText="1"/>
      <protection hidden="1"/>
    </xf>
    <xf numFmtId="0" fontId="26" fillId="0" borderId="8" xfId="0" applyFont="1" applyBorder="1" applyAlignment="1" applyProtection="1">
      <alignment horizontal="left" vertical="center" wrapText="1"/>
      <protection hidden="1"/>
    </xf>
    <xf numFmtId="0" fontId="26" fillId="0" borderId="15" xfId="0" applyFont="1" applyBorder="1" applyAlignment="1" applyProtection="1">
      <alignment horizontal="left" vertical="center" wrapText="1"/>
      <protection hidden="1"/>
    </xf>
    <xf numFmtId="0" fontId="26" fillId="0" borderId="6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 wrapText="1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left" vertical="center" wrapText="1"/>
      <protection hidden="1"/>
    </xf>
    <xf numFmtId="0" fontId="9" fillId="0" borderId="15" xfId="0" applyFont="1" applyBorder="1" applyAlignment="1" applyProtection="1">
      <alignment horizontal="left" vertical="center" wrapText="1"/>
      <protection hidden="1"/>
    </xf>
    <xf numFmtId="0" fontId="9" fillId="0" borderId="60" xfId="0" applyFont="1" applyBorder="1" applyAlignment="1" applyProtection="1">
      <alignment horizontal="left" vertical="center" wrapText="1"/>
      <protection hidden="1"/>
    </xf>
    <xf numFmtId="0" fontId="9" fillId="0" borderId="23" xfId="0" applyFont="1" applyBorder="1" applyAlignment="1" applyProtection="1">
      <alignment horizontal="left" vertical="center" wrapText="1"/>
      <protection hidden="1"/>
    </xf>
    <xf numFmtId="0" fontId="9" fillId="0" borderId="6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31" fillId="0" borderId="31" xfId="0" applyFont="1" applyBorder="1" applyAlignment="1" applyProtection="1">
      <alignment horizontal="center" vertical="center" wrapText="1"/>
      <protection hidden="1"/>
    </xf>
    <xf numFmtId="0" fontId="25" fillId="0" borderId="60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5" fillId="0" borderId="23" xfId="0" applyFont="1" applyBorder="1" applyAlignment="1" applyProtection="1">
      <alignment horizontal="center" vertical="center" wrapText="1"/>
      <protection hidden="1"/>
    </xf>
    <xf numFmtId="0" fontId="26" fillId="0" borderId="60" xfId="0" applyFont="1" applyBorder="1" applyAlignment="1" applyProtection="1">
      <alignment horizontal="left" vertical="center" wrapText="1"/>
      <protection hidden="1"/>
    </xf>
    <xf numFmtId="0" fontId="26" fillId="0" borderId="23" xfId="0" applyFont="1" applyBorder="1" applyAlignment="1" applyProtection="1">
      <alignment horizontal="left" vertical="center" wrapText="1"/>
      <protection hidden="1"/>
    </xf>
    <xf numFmtId="0" fontId="31" fillId="0" borderId="34" xfId="0" applyFont="1" applyBorder="1" applyAlignment="1" applyProtection="1">
      <alignment horizontal="center" vertical="center" wrapText="1"/>
      <protection hidden="1"/>
    </xf>
    <xf numFmtId="0" fontId="31" fillId="0" borderId="0" xfId="0" applyFont="1" applyBorder="1" applyAlignment="1" applyProtection="1">
      <alignment horizontal="center" vertical="center" wrapText="1"/>
      <protection hidden="1"/>
    </xf>
    <xf numFmtId="0" fontId="31" fillId="0" borderId="1" xfId="0" applyFont="1" applyBorder="1" applyAlignment="1" applyProtection="1">
      <alignment horizontal="center" vertical="center" wrapText="1"/>
      <protection hidden="1"/>
    </xf>
    <xf numFmtId="0" fontId="13" fillId="0" borderId="28" xfId="0" applyFont="1" applyBorder="1" applyAlignment="1" applyProtection="1">
      <alignment horizontal="center" vertical="center" wrapText="1"/>
      <protection hidden="1"/>
    </xf>
    <xf numFmtId="0" fontId="13" fillId="0" borderId="47" xfId="0" applyFont="1" applyBorder="1" applyAlignment="1" applyProtection="1">
      <alignment horizontal="center" vertical="center" wrapText="1"/>
      <protection hidden="1"/>
    </xf>
    <xf numFmtId="0" fontId="13" fillId="0" borderId="48" xfId="0" applyFont="1" applyBorder="1" applyAlignment="1" applyProtection="1">
      <alignment horizontal="center" vertical="center" wrapText="1"/>
      <protection hidden="1"/>
    </xf>
    <xf numFmtId="4" fontId="38" fillId="2" borderId="31" xfId="0" applyNumberFormat="1" applyFont="1" applyFill="1" applyBorder="1" applyAlignment="1" applyProtection="1">
      <alignment horizontal="center" vertical="center" wrapText="1"/>
      <protection hidden="1"/>
    </xf>
    <xf numFmtId="4" fontId="38" fillId="2" borderId="31" xfId="0" applyNumberFormat="1" applyFont="1" applyFill="1" applyBorder="1" applyAlignment="1" applyProtection="1">
      <alignment horizontal="right" vertical="center" wrapText="1"/>
      <protection hidden="1"/>
    </xf>
    <xf numFmtId="0" fontId="9" fillId="2" borderId="2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4" fontId="34" fillId="0" borderId="2" xfId="0" applyNumberFormat="1" applyFont="1" applyBorder="1" applyAlignment="1">
      <alignment horizontal="center" vertical="center" wrapText="1"/>
    </xf>
    <xf numFmtId="4" fontId="34" fillId="0" borderId="5" xfId="0" applyNumberFormat="1" applyFont="1" applyBorder="1" applyAlignment="1">
      <alignment horizontal="center" vertical="center" wrapText="1"/>
    </xf>
    <xf numFmtId="4" fontId="34" fillId="0" borderId="11" xfId="0" applyNumberFormat="1" applyFont="1" applyBorder="1" applyAlignment="1">
      <alignment horizontal="center" vertical="center" wrapText="1"/>
    </xf>
    <xf numFmtId="167" fontId="34" fillId="0" borderId="2" xfId="0" applyNumberFormat="1" applyFont="1" applyBorder="1" applyAlignment="1">
      <alignment horizontal="center" vertical="center" wrapText="1"/>
    </xf>
    <xf numFmtId="167" fontId="34" fillId="0" borderId="11" xfId="0" applyNumberFormat="1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top" wrapText="1" shrinkToFit="1"/>
    </xf>
    <xf numFmtId="0" fontId="26" fillId="0" borderId="15" xfId="0" applyFont="1" applyBorder="1" applyAlignment="1">
      <alignment horizontal="left" vertical="top" wrapText="1" shrinkToFit="1"/>
    </xf>
    <xf numFmtId="0" fontId="26" fillId="0" borderId="8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0" fillId="2" borderId="55" xfId="0" applyFont="1" applyFill="1" applyBorder="1" applyAlignment="1">
      <alignment horizontal="center" vertical="center" wrapText="1"/>
    </xf>
    <xf numFmtId="0" fontId="20" fillId="2" borderId="56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top" wrapText="1"/>
    </xf>
    <xf numFmtId="0" fontId="0" fillId="0" borderId="11" xfId="0" applyBorder="1" applyAlignment="1"/>
    <xf numFmtId="0" fontId="25" fillId="0" borderId="28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20" fillId="2" borderId="62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39" fillId="0" borderId="3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165" fontId="34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vertical="center"/>
    </xf>
    <xf numFmtId="0" fontId="26" fillId="0" borderId="6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9" xfId="0" applyBorder="1" applyAlignment="1"/>
    <xf numFmtId="165" fontId="34" fillId="0" borderId="8" xfId="0" applyNumberFormat="1" applyFont="1" applyBorder="1" applyAlignment="1">
      <alignment horizontal="center" vertical="center" wrapText="1"/>
    </xf>
    <xf numFmtId="165" fontId="34" fillId="0" borderId="15" xfId="0" applyNumberFormat="1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9" fontId="25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5" fontId="34" fillId="0" borderId="4" xfId="0" applyNumberFormat="1" applyFont="1" applyBorder="1" applyAlignment="1">
      <alignment horizontal="center" vertical="center" wrapText="1"/>
    </xf>
    <xf numFmtId="165" fontId="34" fillId="0" borderId="2" xfId="0" applyNumberFormat="1" applyFont="1" applyBorder="1" applyAlignment="1">
      <alignment horizontal="center" vertical="center" wrapText="1"/>
    </xf>
    <xf numFmtId="165" fontId="34" fillId="0" borderId="11" xfId="0" applyNumberFormat="1" applyFont="1" applyBorder="1" applyAlignment="1">
      <alignment horizontal="center" vertical="center" wrapText="1"/>
    </xf>
    <xf numFmtId="49" fontId="34" fillId="0" borderId="2" xfId="0" applyNumberFormat="1" applyFont="1" applyBorder="1" applyAlignment="1">
      <alignment horizontal="center" vertical="center" wrapText="1"/>
    </xf>
    <xf numFmtId="49" fontId="34" fillId="0" borderId="11" xfId="0" applyNumberFormat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" fontId="34" fillId="0" borderId="8" xfId="0" applyNumberFormat="1" applyFont="1" applyBorder="1" applyAlignment="1">
      <alignment horizontal="center" vertical="center" wrapText="1"/>
    </xf>
    <xf numFmtId="4" fontId="34" fillId="0" borderId="15" xfId="0" applyNumberFormat="1" applyFont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left" vertical="center" wrapText="1"/>
    </xf>
    <xf numFmtId="0" fontId="47" fillId="0" borderId="5" xfId="0" applyFont="1" applyFill="1" applyBorder="1" applyAlignment="1">
      <alignment horizontal="left" vertical="center" wrapText="1"/>
    </xf>
    <xf numFmtId="0" fontId="47" fillId="0" borderId="65" xfId="0" applyFont="1" applyFill="1" applyBorder="1" applyAlignment="1">
      <alignment horizontal="center" vertical="center"/>
    </xf>
    <xf numFmtId="0" fontId="47" fillId="0" borderId="62" xfId="0" applyFont="1" applyFill="1" applyBorder="1" applyAlignment="1">
      <alignment horizontal="center" vertical="center"/>
    </xf>
    <xf numFmtId="0" fontId="47" fillId="0" borderId="63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left" vertical="center" wrapText="1"/>
    </xf>
    <xf numFmtId="0" fontId="47" fillId="0" borderId="34" xfId="0" applyFont="1" applyFill="1" applyBorder="1" applyAlignment="1">
      <alignment horizontal="left" vertical="center" wrapText="1"/>
    </xf>
    <xf numFmtId="0" fontId="47" fillId="0" borderId="39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44" xfId="0" applyFont="1" applyFill="1" applyBorder="1" applyAlignment="1">
      <alignment horizontal="left" vertical="center" wrapText="1"/>
    </xf>
    <xf numFmtId="0" fontId="47" fillId="0" borderId="72" xfId="0" applyFont="1" applyFill="1" applyBorder="1" applyAlignment="1">
      <alignment horizontal="left" vertical="center" wrapText="1"/>
    </xf>
    <xf numFmtId="0" fontId="47" fillId="0" borderId="68" xfId="0" applyFont="1" applyFill="1" applyBorder="1" applyAlignment="1">
      <alignment horizontal="left" vertical="center" wrapText="1"/>
    </xf>
    <xf numFmtId="0" fontId="47" fillId="0" borderId="69" xfId="0" applyFont="1" applyFill="1" applyBorder="1" applyAlignment="1">
      <alignment horizontal="left" vertical="center" wrapText="1"/>
    </xf>
    <xf numFmtId="9" fontId="0" fillId="0" borderId="0" xfId="1" applyFont="1" applyAlignment="1" applyProtection="1">
      <alignment horizontal="center"/>
      <protection locked="0"/>
    </xf>
    <xf numFmtId="0" fontId="51" fillId="3" borderId="5" xfId="0" applyFont="1" applyFill="1" applyBorder="1" applyAlignment="1">
      <alignment horizontal="left" vertical="center" wrapText="1"/>
    </xf>
    <xf numFmtId="0" fontId="51" fillId="3" borderId="5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0" fontId="51" fillId="0" borderId="74" xfId="0" applyFont="1" applyBorder="1" applyAlignment="1">
      <alignment horizontal="center" vertical="center"/>
    </xf>
    <xf numFmtId="0" fontId="51" fillId="0" borderId="6" xfId="0" applyFont="1" applyBorder="1" applyAlignment="1">
      <alignment horizontal="center" vertical="center"/>
    </xf>
    <xf numFmtId="0" fontId="51" fillId="0" borderId="42" xfId="0" applyFont="1" applyBorder="1" applyAlignment="1">
      <alignment vertical="center" wrapText="1"/>
    </xf>
    <xf numFmtId="0" fontId="1" fillId="0" borderId="34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51" fillId="0" borderId="2" xfId="0" applyFont="1" applyBorder="1" applyAlignment="1">
      <alignment horizontal="center" vertical="center"/>
    </xf>
    <xf numFmtId="0" fontId="51" fillId="0" borderId="5" xfId="0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51" fillId="0" borderId="17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44" xfId="0" applyFont="1" applyBorder="1" applyAlignment="1">
      <alignment horizontal="left" vertical="center" wrapText="1"/>
    </xf>
    <xf numFmtId="0" fontId="51" fillId="0" borderId="72" xfId="0" applyFont="1" applyBorder="1" applyAlignment="1">
      <alignment horizontal="left" vertical="center" wrapText="1"/>
    </xf>
    <xf numFmtId="0" fontId="51" fillId="0" borderId="68" xfId="0" applyFont="1" applyBorder="1" applyAlignment="1">
      <alignment horizontal="left" vertical="center" wrapText="1"/>
    </xf>
    <xf numFmtId="0" fontId="51" fillId="0" borderId="69" xfId="0" applyFont="1" applyBorder="1" applyAlignment="1">
      <alignment horizontal="left" vertical="center" wrapText="1"/>
    </xf>
    <xf numFmtId="0" fontId="51" fillId="0" borderId="65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47" fillId="0" borderId="55" xfId="0" applyFont="1" applyFill="1" applyBorder="1" applyAlignment="1">
      <alignment horizontal="center" vertical="center"/>
    </xf>
    <xf numFmtId="0" fontId="0" fillId="0" borderId="7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51" fillId="0" borderId="55" xfId="0" applyFont="1" applyBorder="1" applyAlignment="1">
      <alignment horizontal="center" vertical="center"/>
    </xf>
    <xf numFmtId="0" fontId="51" fillId="0" borderId="9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23" xfId="0" applyFont="1" applyBorder="1" applyAlignment="1">
      <alignment horizontal="left" vertical="top" wrapText="1"/>
    </xf>
    <xf numFmtId="0" fontId="51" fillId="3" borderId="5" xfId="0" applyFont="1" applyFill="1" applyBorder="1" applyAlignment="1">
      <alignment vertical="center"/>
    </xf>
    <xf numFmtId="0" fontId="47" fillId="0" borderId="51" xfId="0" applyFont="1" applyFill="1" applyBorder="1" applyAlignment="1">
      <alignment horizontal="center" vertical="center"/>
    </xf>
    <xf numFmtId="0" fontId="47" fillId="0" borderId="70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left" vertical="center" wrapText="1"/>
    </xf>
    <xf numFmtId="0" fontId="47" fillId="0" borderId="54" xfId="0" applyFont="1" applyFill="1" applyBorder="1" applyAlignment="1">
      <alignment horizontal="left" vertical="center" wrapText="1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0" xfId="0" applyFill="1" applyBorder="1" applyAlignment="1">
      <alignment vertical="center" wrapText="1"/>
    </xf>
    <xf numFmtId="0" fontId="0" fillId="7" borderId="22" xfId="0" applyFill="1" applyBorder="1" applyAlignment="1">
      <alignment vertical="center" wrapText="1"/>
    </xf>
    <xf numFmtId="0" fontId="0" fillId="7" borderId="42" xfId="0" applyFont="1" applyFill="1" applyBorder="1" applyAlignment="1">
      <alignment horizontal="center" vertical="center" wrapText="1"/>
    </xf>
    <xf numFmtId="0" fontId="0" fillId="7" borderId="34" xfId="0" applyFont="1" applyFill="1" applyBorder="1" applyAlignment="1">
      <alignment horizontal="center" vertical="center" wrapText="1"/>
    </xf>
    <xf numFmtId="0" fontId="0" fillId="7" borderId="39" xfId="0" applyFont="1" applyFill="1" applyBorder="1" applyAlignment="1">
      <alignment horizontal="center" vertical="center" wrapText="1"/>
    </xf>
    <xf numFmtId="0" fontId="0" fillId="7" borderId="72" xfId="0" applyFont="1" applyFill="1" applyBorder="1" applyAlignment="1">
      <alignment horizontal="center" vertical="center" wrapText="1"/>
    </xf>
    <xf numFmtId="0" fontId="0" fillId="7" borderId="68" xfId="0" applyFont="1" applyFill="1" applyBorder="1" applyAlignment="1">
      <alignment horizontal="center" vertical="center" wrapText="1"/>
    </xf>
    <xf numFmtId="0" fontId="0" fillId="7" borderId="69" xfId="0" applyFont="1" applyFill="1" applyBorder="1" applyAlignment="1">
      <alignment horizontal="center" vertical="center" wrapText="1"/>
    </xf>
    <xf numFmtId="0" fontId="0" fillId="7" borderId="42" xfId="0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 vertical="center" wrapText="1"/>
    </xf>
    <xf numFmtId="0" fontId="0" fillId="7" borderId="39" xfId="0" applyFill="1" applyBorder="1" applyAlignment="1">
      <alignment horizontal="center" vertical="center" wrapText="1"/>
    </xf>
    <xf numFmtId="0" fontId="0" fillId="7" borderId="72" xfId="0" applyFill="1" applyBorder="1" applyAlignment="1">
      <alignment horizontal="center" vertical="center" wrapText="1"/>
    </xf>
    <xf numFmtId="0" fontId="0" fillId="7" borderId="68" xfId="0" applyFill="1" applyBorder="1" applyAlignment="1">
      <alignment horizontal="center" vertical="center" wrapText="1"/>
    </xf>
    <xf numFmtId="0" fontId="0" fillId="7" borderId="69" xfId="0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50" fillId="6" borderId="41" xfId="0" applyFont="1" applyFill="1" applyBorder="1" applyAlignment="1">
      <alignment horizontal="center" vertical="center" wrapText="1"/>
    </xf>
    <xf numFmtId="0" fontId="50" fillId="6" borderId="58" xfId="0" applyFont="1" applyFill="1" applyBorder="1" applyAlignment="1">
      <alignment horizontal="center" vertical="center" wrapText="1"/>
    </xf>
    <xf numFmtId="0" fontId="50" fillId="6" borderId="4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left" vertical="center"/>
    </xf>
    <xf numFmtId="0" fontId="4" fillId="5" borderId="58" xfId="0" applyFont="1" applyFill="1" applyBorder="1" applyAlignment="1">
      <alignment horizontal="left" vertical="center"/>
    </xf>
    <xf numFmtId="0" fontId="4" fillId="5" borderId="40" xfId="0" applyFont="1" applyFill="1" applyBorder="1" applyAlignment="1">
      <alignment horizontal="left" vertical="center"/>
    </xf>
    <xf numFmtId="0" fontId="54" fillId="0" borderId="20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43" fontId="62" fillId="6" borderId="20" xfId="2" applyNumberFormat="1" applyFont="1" applyFill="1" applyBorder="1" applyAlignment="1">
      <alignment horizontal="right" vertical="center" wrapText="1"/>
    </xf>
    <xf numFmtId="43" fontId="62" fillId="6" borderId="22" xfId="2" applyNumberFormat="1" applyFont="1" applyFill="1" applyBorder="1" applyAlignment="1">
      <alignment horizontal="right" vertical="center" wrapText="1"/>
    </xf>
    <xf numFmtId="164" fontId="62" fillId="0" borderId="20" xfId="0" applyNumberFormat="1" applyFont="1" applyBorder="1" applyAlignment="1">
      <alignment horizontal="right" vertical="center"/>
    </xf>
    <xf numFmtId="164" fontId="62" fillId="0" borderId="22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43" fontId="62" fillId="6" borderId="20" xfId="2" applyNumberFormat="1" applyFont="1" applyFill="1" applyBorder="1" applyAlignment="1">
      <alignment horizontal="center" vertical="center" wrapText="1"/>
    </xf>
    <xf numFmtId="43" fontId="62" fillId="6" borderId="22" xfId="2" applyNumberFormat="1" applyFont="1" applyFill="1" applyBorder="1" applyAlignment="1">
      <alignment horizontal="center" vertical="center" wrapText="1"/>
    </xf>
    <xf numFmtId="164" fontId="62" fillId="0" borderId="20" xfId="0" applyNumberFormat="1" applyFont="1" applyBorder="1" applyAlignment="1">
      <alignment vertical="center"/>
    </xf>
    <xf numFmtId="164" fontId="62" fillId="0" borderId="22" xfId="0" applyNumberFormat="1" applyFont="1" applyBorder="1" applyAlignment="1">
      <alignment vertical="center"/>
    </xf>
    <xf numFmtId="0" fontId="0" fillId="7" borderId="80" xfId="0" applyFill="1" applyBorder="1" applyAlignment="1">
      <alignment horizontal="center" vertical="center"/>
    </xf>
    <xf numFmtId="0" fontId="0" fillId="7" borderId="80" xfId="0" applyFill="1" applyBorder="1" applyAlignment="1">
      <alignment vertical="center" wrapText="1"/>
    </xf>
    <xf numFmtId="0" fontId="0" fillId="7" borderId="20" xfId="0" applyFont="1" applyFill="1" applyBorder="1" applyAlignment="1">
      <alignment horizontal="center" vertical="center" wrapText="1"/>
    </xf>
    <xf numFmtId="0" fontId="0" fillId="7" borderId="80" xfId="0" applyFont="1" applyFill="1" applyBorder="1" applyAlignment="1">
      <alignment horizontal="center" vertical="center" wrapText="1"/>
    </xf>
    <xf numFmtId="0" fontId="0" fillId="7" borderId="22" xfId="0" applyFont="1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8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/>
    </xf>
    <xf numFmtId="0" fontId="0" fillId="7" borderId="19" xfId="0" applyFill="1" applyBorder="1" applyAlignment="1">
      <alignment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0" fontId="8" fillId="0" borderId="68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47" fillId="6" borderId="20" xfId="0" applyFont="1" applyFill="1" applyBorder="1" applyAlignment="1">
      <alignment horizontal="center" vertical="center"/>
    </xf>
    <xf numFmtId="0" fontId="47" fillId="6" borderId="22" xfId="0" applyFont="1" applyFill="1" applyBorder="1" applyAlignment="1">
      <alignment horizontal="center" vertical="center"/>
    </xf>
    <xf numFmtId="0" fontId="51" fillId="6" borderId="20" xfId="0" applyFont="1" applyFill="1" applyBorder="1" applyAlignment="1">
      <alignment horizontal="center" vertical="center" wrapText="1"/>
    </xf>
    <xf numFmtId="0" fontId="51" fillId="6" borderId="22" xfId="0" applyFont="1" applyFill="1" applyBorder="1" applyAlignment="1">
      <alignment horizontal="center" vertical="center" wrapText="1"/>
    </xf>
    <xf numFmtId="0" fontId="63" fillId="6" borderId="41" xfId="0" applyFont="1" applyFill="1" applyBorder="1" applyAlignment="1">
      <alignment horizontal="center" vertical="center" wrapText="1"/>
    </xf>
    <xf numFmtId="0" fontId="63" fillId="6" borderId="58" xfId="0" applyFont="1" applyFill="1" applyBorder="1" applyAlignment="1">
      <alignment horizontal="center" vertical="center" wrapText="1"/>
    </xf>
    <xf numFmtId="0" fontId="63" fillId="6" borderId="40" xfId="0" applyFont="1" applyFill="1" applyBorder="1" applyAlignment="1">
      <alignment horizontal="center" vertical="center" wrapText="1"/>
    </xf>
    <xf numFmtId="0" fontId="63" fillId="6" borderId="20" xfId="0" applyFont="1" applyFill="1" applyBorder="1" applyAlignment="1">
      <alignment horizontal="center" vertical="center" wrapText="1"/>
    </xf>
    <xf numFmtId="0" fontId="63" fillId="6" borderId="22" xfId="0" applyFont="1" applyFill="1" applyBorder="1" applyAlignment="1">
      <alignment horizontal="center" vertical="center" wrapText="1"/>
    </xf>
    <xf numFmtId="0" fontId="63" fillId="6" borderId="20" xfId="0" applyFont="1" applyFill="1" applyBorder="1" applyAlignment="1" applyProtection="1">
      <alignment horizontal="center" vertical="center" wrapText="1"/>
      <protection hidden="1"/>
    </xf>
    <xf numFmtId="0" fontId="63" fillId="6" borderId="22" xfId="0" applyFont="1" applyFill="1" applyBorder="1" applyAlignment="1" applyProtection="1">
      <alignment horizontal="center" vertical="center" wrapText="1"/>
      <protection hidden="1"/>
    </xf>
    <xf numFmtId="0" fontId="4" fillId="5" borderId="19" xfId="0" applyFont="1" applyFill="1" applyBorder="1" applyAlignment="1">
      <alignment horizontal="left" vertical="center" wrapText="1"/>
    </xf>
    <xf numFmtId="0" fontId="26" fillId="0" borderId="5" xfId="0" applyFont="1" applyBorder="1" applyAlignment="1" applyProtection="1">
      <alignment horizontal="left" vertical="top" wrapText="1"/>
      <protection hidden="1"/>
    </xf>
    <xf numFmtId="4" fontId="38" fillId="2" borderId="3" xfId="0" applyNumberFormat="1" applyFont="1" applyFill="1" applyBorder="1" applyAlignment="1">
      <alignment horizontal="center" vertical="center" wrapText="1"/>
    </xf>
    <xf numFmtId="4" fontId="38" fillId="2" borderId="7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25" fillId="0" borderId="8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6" fillId="0" borderId="9" xfId="0" applyFont="1" applyBorder="1" applyAlignment="1" applyProtection="1">
      <alignment horizontal="left" vertical="center" wrapText="1"/>
      <protection hidden="1"/>
    </xf>
    <xf numFmtId="0" fontId="26" fillId="0" borderId="0" xfId="0" applyFont="1" applyBorder="1" applyAlignment="1" applyProtection="1">
      <alignment horizontal="left" vertical="center" wrapText="1"/>
      <protection hidden="1"/>
    </xf>
    <xf numFmtId="0" fontId="26" fillId="0" borderId="1" xfId="0" applyFont="1" applyBorder="1" applyAlignment="1" applyProtection="1">
      <alignment horizontal="left" vertical="center" wrapText="1"/>
      <protection hidden="1"/>
    </xf>
    <xf numFmtId="4" fontId="38" fillId="2" borderId="31" xfId="0" applyNumberFormat="1" applyFont="1" applyFill="1" applyBorder="1" applyAlignment="1">
      <alignment horizontal="center" vertical="center" wrapText="1"/>
    </xf>
    <xf numFmtId="2" fontId="14" fillId="2" borderId="61" xfId="0" applyNumberFormat="1" applyFont="1" applyFill="1" applyBorder="1" applyAlignment="1">
      <alignment horizontal="center" wrapText="1"/>
    </xf>
    <xf numFmtId="2" fontId="14" fillId="2" borderId="57" xfId="0" applyNumberFormat="1" applyFont="1" applyFill="1" applyBorder="1" applyAlignment="1">
      <alignment horizontal="center" wrapText="1"/>
    </xf>
    <xf numFmtId="2" fontId="14" fillId="2" borderId="75" xfId="0" applyNumberFormat="1" applyFont="1" applyFill="1" applyBorder="1" applyAlignment="1">
      <alignment horizontal="center" vertical="center" wrapText="1"/>
    </xf>
    <xf numFmtId="2" fontId="14" fillId="2" borderId="76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 applyProtection="1">
      <alignment horizontal="left" vertical="top"/>
      <protection hidden="1"/>
    </xf>
    <xf numFmtId="0" fontId="9" fillId="0" borderId="0" xfId="0" applyFont="1" applyFill="1" applyBorder="1" applyAlignment="1" applyProtection="1">
      <alignment horizontal="left" vertical="top"/>
      <protection hidden="1"/>
    </xf>
    <xf numFmtId="0" fontId="9" fillId="0" borderId="1" xfId="0" applyFont="1" applyFill="1" applyBorder="1" applyAlignment="1" applyProtection="1">
      <alignment horizontal="left" vertical="top"/>
      <protection hidden="1"/>
    </xf>
    <xf numFmtId="4" fontId="38" fillId="2" borderId="31" xfId="0" applyNumberFormat="1" applyFont="1" applyFill="1" applyBorder="1" applyAlignment="1">
      <alignment horizontal="right" vertical="center" wrapText="1" indent="1"/>
    </xf>
    <xf numFmtId="4" fontId="38" fillId="2" borderId="7" xfId="0" applyNumberFormat="1" applyFont="1" applyFill="1" applyBorder="1" applyAlignment="1">
      <alignment horizontal="right" vertical="center" wrapText="1" indent="1"/>
    </xf>
    <xf numFmtId="4" fontId="38" fillId="2" borderId="3" xfId="0" applyNumberFormat="1" applyFont="1" applyFill="1" applyBorder="1" applyAlignment="1">
      <alignment horizontal="right" vertical="center" wrapText="1"/>
    </xf>
    <xf numFmtId="4" fontId="38" fillId="2" borderId="7" xfId="0" applyNumberFormat="1" applyFont="1" applyFill="1" applyBorder="1" applyAlignment="1">
      <alignment horizontal="right" vertical="center" wrapTex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4" fontId="25" fillId="0" borderId="3" xfId="0" applyNumberFormat="1" applyFont="1" applyBorder="1" applyAlignment="1">
      <alignment horizontal="center" vertical="center" wrapText="1"/>
    </xf>
    <xf numFmtId="4" fontId="25" fillId="0" borderId="7" xfId="0" applyNumberFormat="1" applyFont="1" applyBorder="1" applyAlignment="1">
      <alignment horizontal="center" vertical="center" wrapText="1"/>
    </xf>
    <xf numFmtId="4" fontId="25" fillId="0" borderId="8" xfId="0" applyNumberFormat="1" applyFont="1" applyBorder="1" applyAlignment="1">
      <alignment horizontal="center" vertical="center" wrapText="1"/>
    </xf>
    <xf numFmtId="4" fontId="25" fillId="0" borderId="6" xfId="0" applyNumberFormat="1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justify" wrapText="1"/>
    </xf>
    <xf numFmtId="0" fontId="31" fillId="0" borderId="31" xfId="0" applyFont="1" applyBorder="1" applyAlignment="1">
      <alignment horizontal="center" vertical="justify" wrapText="1"/>
    </xf>
    <xf numFmtId="0" fontId="31" fillId="0" borderId="7" xfId="0" applyFont="1" applyBorder="1" applyAlignment="1">
      <alignment horizontal="center" vertical="justify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6" fillId="0" borderId="9" xfId="0" applyFont="1" applyBorder="1" applyAlignment="1" applyProtection="1">
      <alignment horizontal="left" vertical="top" wrapText="1"/>
      <protection hidden="1"/>
    </xf>
    <xf numFmtId="0" fontId="26" fillId="0" borderId="0" xfId="0" applyFont="1" applyBorder="1" applyAlignment="1" applyProtection="1">
      <alignment horizontal="left" vertical="top" wrapText="1"/>
      <protection hidden="1"/>
    </xf>
    <xf numFmtId="0" fontId="26" fillId="0" borderId="1" xfId="0" applyFont="1" applyBorder="1" applyAlignment="1" applyProtection="1">
      <alignment horizontal="left" vertical="top" wrapText="1"/>
      <protection hidden="1"/>
    </xf>
    <xf numFmtId="0" fontId="33" fillId="0" borderId="0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4" fontId="25" fillId="2" borderId="1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4" fontId="9" fillId="2" borderId="11" xfId="0" applyNumberFormat="1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left" vertical="center" wrapText="1"/>
    </xf>
    <xf numFmtId="0" fontId="28" fillId="2" borderId="9" xfId="0" applyFont="1" applyFill="1" applyBorder="1" applyAlignment="1">
      <alignment horizontal="left" vertical="center" wrapText="1"/>
    </xf>
    <xf numFmtId="0" fontId="28" fillId="2" borderId="5" xfId="0" applyFont="1" applyFill="1" applyBorder="1" applyAlignment="1">
      <alignment horizontal="left" vertical="center" wrapText="1"/>
    </xf>
    <xf numFmtId="0" fontId="28" fillId="2" borderId="11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4" fontId="13" fillId="0" borderId="28" xfId="0" applyNumberFormat="1" applyFont="1" applyBorder="1" applyAlignment="1">
      <alignment horizontal="center" vertical="center" wrapText="1"/>
    </xf>
    <xf numFmtId="4" fontId="13" fillId="0" borderId="47" xfId="0" applyNumberFormat="1" applyFont="1" applyBorder="1" applyAlignment="1">
      <alignment horizontal="center" vertical="center" wrapText="1"/>
    </xf>
    <xf numFmtId="4" fontId="13" fillId="0" borderId="48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" fontId="38" fillId="2" borderId="3" xfId="0" applyNumberFormat="1" applyFont="1" applyFill="1" applyBorder="1" applyAlignment="1">
      <alignment horizontal="right" vertical="center" wrapText="1" indent="1"/>
    </xf>
    <xf numFmtId="4" fontId="38" fillId="2" borderId="32" xfId="0" applyNumberFormat="1" applyFont="1" applyFill="1" applyBorder="1" applyAlignment="1">
      <alignment horizontal="right" vertical="center" wrapText="1" indent="1"/>
    </xf>
    <xf numFmtId="4" fontId="38" fillId="2" borderId="46" xfId="0" applyNumberFormat="1" applyFont="1" applyFill="1" applyBorder="1" applyAlignment="1">
      <alignment horizontal="right" vertical="center" wrapText="1" indent="1"/>
    </xf>
    <xf numFmtId="0" fontId="25" fillId="0" borderId="51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/>
    </xf>
    <xf numFmtId="9" fontId="25" fillId="0" borderId="0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left"/>
    </xf>
    <xf numFmtId="0" fontId="39" fillId="0" borderId="3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 wrapText="1"/>
    </xf>
    <xf numFmtId="0" fontId="9" fillId="5" borderId="60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left" vertical="top" wrapText="1"/>
    </xf>
    <xf numFmtId="0" fontId="32" fillId="0" borderId="23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52" fillId="3" borderId="60" xfId="0" applyFont="1" applyFill="1" applyBorder="1" applyAlignment="1">
      <alignment horizontal="left" vertical="center" wrapText="1"/>
    </xf>
    <xf numFmtId="0" fontId="52" fillId="3" borderId="0" xfId="0" applyFont="1" applyFill="1" applyBorder="1" applyAlignment="1">
      <alignment horizontal="left" vertical="center" wrapText="1"/>
    </xf>
    <xf numFmtId="0" fontId="52" fillId="3" borderId="23" xfId="0" applyFont="1" applyFill="1" applyBorder="1" applyAlignment="1">
      <alignment horizontal="left" vertical="center" wrapText="1"/>
    </xf>
    <xf numFmtId="0" fontId="51" fillId="0" borderId="8" xfId="0" applyFont="1" applyBorder="1" applyAlignment="1">
      <alignment horizontal="left" vertical="center"/>
    </xf>
    <xf numFmtId="0" fontId="51" fillId="0" borderId="9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2" fillId="0" borderId="2" xfId="0" applyFont="1" applyBorder="1" applyAlignment="1">
      <alignment horizontal="left" vertical="center"/>
    </xf>
    <xf numFmtId="0" fontId="52" fillId="0" borderId="5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0" fillId="0" borderId="72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9" fontId="1" fillId="0" borderId="0" xfId="1" applyAlignment="1" applyProtection="1">
      <alignment horizontal="center"/>
      <protection locked="0"/>
    </xf>
    <xf numFmtId="0" fontId="13" fillId="0" borderId="0" xfId="0" applyFont="1" applyBorder="1" applyAlignment="1">
      <alignment horizontal="left" vertical="center" wrapText="1"/>
    </xf>
    <xf numFmtId="2" fontId="66" fillId="8" borderId="41" xfId="0" applyNumberFormat="1" applyFont="1" applyFill="1" applyBorder="1" applyAlignment="1">
      <alignment horizontal="center" vertical="center" wrapText="1"/>
    </xf>
    <xf numFmtId="2" fontId="66" fillId="8" borderId="40" xfId="0" applyNumberFormat="1" applyFont="1" applyFill="1" applyBorder="1" applyAlignment="1">
      <alignment horizontal="center" vertical="center" wrapText="1"/>
    </xf>
    <xf numFmtId="0" fontId="66" fillId="6" borderId="41" xfId="0" applyFont="1" applyFill="1" applyBorder="1" applyAlignment="1">
      <alignment horizontal="center" vertical="center" wrapText="1"/>
    </xf>
    <xf numFmtId="0" fontId="66" fillId="6" borderId="40" xfId="0" applyFont="1" applyFill="1" applyBorder="1" applyAlignment="1">
      <alignment horizontal="center" vertical="center" wrapText="1"/>
    </xf>
    <xf numFmtId="0" fontId="66" fillId="8" borderId="41" xfId="0" applyFont="1" applyFill="1" applyBorder="1" applyAlignment="1">
      <alignment horizontal="center" vertical="center" wrapText="1"/>
    </xf>
    <xf numFmtId="0" fontId="66" fillId="0" borderId="40" xfId="0" applyFont="1" applyBorder="1"/>
    <xf numFmtId="0" fontId="66" fillId="7" borderId="41" xfId="0" applyFont="1" applyFill="1" applyBorder="1" applyAlignment="1">
      <alignment horizontal="center" vertical="center" wrapText="1"/>
    </xf>
    <xf numFmtId="0" fontId="66" fillId="7" borderId="40" xfId="0" applyFont="1" applyFill="1" applyBorder="1"/>
    <xf numFmtId="0" fontId="66" fillId="8" borderId="40" xfId="0" applyFont="1" applyFill="1" applyBorder="1" applyAlignment="1">
      <alignment horizontal="center" vertical="center" wrapText="1"/>
    </xf>
    <xf numFmtId="0" fontId="66" fillId="7" borderId="40" xfId="0" applyFont="1" applyFill="1" applyBorder="1" applyAlignment="1">
      <alignment horizontal="center" vertical="center" wrapText="1"/>
    </xf>
    <xf numFmtId="0" fontId="66" fillId="8" borderId="42" xfId="0" applyFont="1" applyFill="1" applyBorder="1" applyAlignment="1">
      <alignment horizontal="center" vertical="center" wrapText="1"/>
    </xf>
    <xf numFmtId="0" fontId="66" fillId="8" borderId="39" xfId="0" applyFont="1" applyFill="1" applyBorder="1" applyAlignment="1">
      <alignment horizontal="center" vertical="center" wrapText="1"/>
    </xf>
    <xf numFmtId="0" fontId="66" fillId="8" borderId="72" xfId="0" applyFont="1" applyFill="1" applyBorder="1" applyAlignment="1">
      <alignment horizontal="center" vertical="center" wrapText="1"/>
    </xf>
    <xf numFmtId="0" fontId="66" fillId="8" borderId="69" xfId="0" applyFont="1" applyFill="1" applyBorder="1" applyAlignment="1">
      <alignment horizontal="center" vertical="center" wrapText="1"/>
    </xf>
    <xf numFmtId="2" fontId="66" fillId="7" borderId="41" xfId="0" applyNumberFormat="1" applyFont="1" applyFill="1" applyBorder="1" applyAlignment="1">
      <alignment horizontal="center" vertical="center" wrapText="1"/>
    </xf>
    <xf numFmtId="2" fontId="66" fillId="7" borderId="40" xfId="0" applyNumberFormat="1" applyFont="1" applyFill="1" applyBorder="1" applyAlignment="1">
      <alignment horizontal="center" vertical="center" wrapText="1"/>
    </xf>
    <xf numFmtId="0" fontId="4" fillId="6" borderId="41" xfId="0" applyFont="1" applyFill="1" applyBorder="1" applyAlignment="1">
      <alignment horizontal="center" vertical="center" wrapText="1"/>
    </xf>
    <xf numFmtId="0" fontId="4" fillId="6" borderId="58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66" fillId="7" borderId="58" xfId="0" applyFont="1" applyFill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58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7" borderId="20" xfId="0" applyFont="1" applyFill="1" applyBorder="1" applyAlignment="1">
      <alignment horizontal="center" vertical="center"/>
    </xf>
    <xf numFmtId="0" fontId="66" fillId="7" borderId="80" xfId="0" applyFont="1" applyFill="1" applyBorder="1" applyAlignment="1">
      <alignment horizontal="center" vertical="center"/>
    </xf>
    <xf numFmtId="0" fontId="66" fillId="7" borderId="22" xfId="0" applyFont="1" applyFill="1" applyBorder="1" applyAlignment="1">
      <alignment horizontal="center" vertical="center"/>
    </xf>
    <xf numFmtId="2" fontId="66" fillId="7" borderId="20" xfId="0" applyNumberFormat="1" applyFont="1" applyFill="1" applyBorder="1" applyAlignment="1">
      <alignment horizontal="center" vertical="center" wrapText="1"/>
    </xf>
    <xf numFmtId="2" fontId="66" fillId="7" borderId="80" xfId="0" applyNumberFormat="1" applyFont="1" applyFill="1" applyBorder="1" applyAlignment="1">
      <alignment horizontal="center" vertical="center" wrapText="1"/>
    </xf>
    <xf numFmtId="2" fontId="66" fillId="7" borderId="22" xfId="0" applyNumberFormat="1" applyFont="1" applyFill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7" borderId="20" xfId="0" applyFont="1" applyFill="1" applyBorder="1" applyAlignment="1">
      <alignment horizontal="center" vertical="center" wrapText="1"/>
    </xf>
    <xf numFmtId="0" fontId="66" fillId="7" borderId="80" xfId="0" applyFont="1" applyFill="1" applyBorder="1" applyAlignment="1">
      <alignment horizontal="center" vertical="center" wrapText="1"/>
    </xf>
    <xf numFmtId="0" fontId="66" fillId="7" borderId="22" xfId="0" applyFont="1" applyFill="1" applyBorder="1" applyAlignment="1">
      <alignment horizontal="center" vertical="center" wrapText="1"/>
    </xf>
    <xf numFmtId="2" fontId="66" fillId="8" borderId="20" xfId="0" applyNumberFormat="1" applyFont="1" applyFill="1" applyBorder="1" applyAlignment="1">
      <alignment horizontal="center" vertical="center" wrapText="1"/>
    </xf>
    <xf numFmtId="2" fontId="66" fillId="8" borderId="80" xfId="0" applyNumberFormat="1" applyFont="1" applyFill="1" applyBorder="1" applyAlignment="1">
      <alignment horizontal="center" vertical="center" wrapText="1"/>
    </xf>
    <xf numFmtId="2" fontId="66" fillId="8" borderId="22" xfId="0" applyNumberFormat="1" applyFont="1" applyFill="1" applyBorder="1" applyAlignment="1">
      <alignment horizontal="center" vertical="center" wrapText="1"/>
    </xf>
    <xf numFmtId="0" fontId="64" fillId="6" borderId="20" xfId="0" applyFont="1" applyFill="1" applyBorder="1" applyAlignment="1">
      <alignment horizontal="center" vertical="center"/>
    </xf>
    <xf numFmtId="0" fontId="64" fillId="6" borderId="22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72" fillId="6" borderId="20" xfId="0" applyFont="1" applyFill="1" applyBorder="1" applyAlignment="1">
      <alignment horizontal="center" vertical="center" wrapText="1"/>
    </xf>
    <xf numFmtId="0" fontId="72" fillId="6" borderId="22" xfId="0" applyFont="1" applyFill="1" applyBorder="1" applyAlignment="1">
      <alignment horizontal="center" vertical="center" wrapText="1"/>
    </xf>
    <xf numFmtId="0" fontId="72" fillId="6" borderId="20" xfId="0" applyFont="1" applyFill="1" applyBorder="1" applyAlignment="1" applyProtection="1">
      <alignment horizontal="center" vertical="center" wrapText="1"/>
      <protection hidden="1"/>
    </xf>
    <xf numFmtId="0" fontId="72" fillId="6" borderId="22" xfId="0" applyFont="1" applyFill="1" applyBorder="1" applyAlignment="1" applyProtection="1">
      <alignment horizontal="center" vertical="center" wrapText="1"/>
      <protection hidden="1"/>
    </xf>
    <xf numFmtId="0" fontId="66" fillId="8" borderId="20" xfId="0" applyFont="1" applyFill="1" applyBorder="1" applyAlignment="1">
      <alignment horizontal="center" vertical="center"/>
    </xf>
    <xf numFmtId="0" fontId="66" fillId="8" borderId="80" xfId="0" applyFont="1" applyFill="1" applyBorder="1" applyAlignment="1">
      <alignment horizontal="center" vertical="center"/>
    </xf>
    <xf numFmtId="0" fontId="66" fillId="8" borderId="22" xfId="0" applyFont="1" applyFill="1" applyBorder="1" applyAlignment="1">
      <alignment horizontal="center" vertical="center"/>
    </xf>
    <xf numFmtId="0" fontId="66" fillId="7" borderId="19" xfId="0" applyFont="1" applyFill="1" applyBorder="1" applyAlignment="1">
      <alignment horizontal="center" vertical="center" wrapText="1"/>
    </xf>
    <xf numFmtId="0" fontId="8" fillId="0" borderId="68" xfId="0" applyFont="1" applyBorder="1" applyAlignment="1">
      <alignment horizontal="center"/>
    </xf>
    <xf numFmtId="0" fontId="66" fillId="0" borderId="20" xfId="0" applyFont="1" applyBorder="1" applyAlignment="1">
      <alignment horizontal="center" vertical="center" wrapText="1"/>
    </xf>
    <xf numFmtId="0" fontId="66" fillId="0" borderId="80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72" fillId="6" borderId="41" xfId="0" applyFont="1" applyFill="1" applyBorder="1" applyAlignment="1">
      <alignment horizontal="center" vertical="center" wrapText="1"/>
    </xf>
    <xf numFmtId="0" fontId="72" fillId="6" borderId="58" xfId="0" applyFont="1" applyFill="1" applyBorder="1" applyAlignment="1">
      <alignment horizontal="center" vertical="center" wrapText="1"/>
    </xf>
    <xf numFmtId="0" fontId="72" fillId="6" borderId="40" xfId="0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left" vertical="center" wrapText="1"/>
    </xf>
    <xf numFmtId="0" fontId="66" fillId="0" borderId="19" xfId="0" applyFont="1" applyBorder="1" applyAlignment="1">
      <alignment horizontal="center" vertical="center"/>
    </xf>
    <xf numFmtId="0" fontId="65" fillId="6" borderId="20" xfId="0" applyFont="1" applyFill="1" applyBorder="1" applyAlignment="1">
      <alignment horizontal="center" vertical="center" wrapText="1"/>
    </xf>
    <xf numFmtId="0" fontId="65" fillId="6" borderId="22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66" fillId="7" borderId="19" xfId="0" applyFont="1" applyFill="1" applyBorder="1" applyAlignment="1">
      <alignment horizontal="center" vertical="center"/>
    </xf>
    <xf numFmtId="0" fontId="66" fillId="7" borderId="19" xfId="0" applyFont="1" applyFill="1" applyBorder="1" applyAlignment="1">
      <alignment vertical="center" wrapText="1"/>
    </xf>
    <xf numFmtId="0" fontId="66" fillId="0" borderId="19" xfId="0" applyFont="1" applyBorder="1" applyAlignment="1">
      <alignment vertical="center" wrapText="1"/>
    </xf>
    <xf numFmtId="2" fontId="66" fillId="0" borderId="20" xfId="0" applyNumberFormat="1" applyFont="1" applyBorder="1" applyAlignment="1">
      <alignment horizontal="center" vertical="center" wrapText="1"/>
    </xf>
    <xf numFmtId="2" fontId="66" fillId="0" borderId="80" xfId="0" applyNumberFormat="1" applyFont="1" applyBorder="1" applyAlignment="1">
      <alignment horizontal="center" vertical="center" wrapText="1"/>
    </xf>
    <xf numFmtId="2" fontId="66" fillId="0" borderId="22" xfId="0" applyNumberFormat="1" applyFont="1" applyBorder="1" applyAlignment="1">
      <alignment horizontal="center" vertical="center" wrapText="1"/>
    </xf>
    <xf numFmtId="0" fontId="66" fillId="0" borderId="80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66" fillId="0" borderId="72" xfId="0" applyFont="1" applyBorder="1" applyAlignment="1">
      <alignment horizontal="center" vertical="center" wrapText="1"/>
    </xf>
    <xf numFmtId="0" fontId="66" fillId="0" borderId="68" xfId="0" applyFont="1" applyBorder="1" applyAlignment="1">
      <alignment horizontal="center" vertical="center" wrapText="1"/>
    </xf>
    <xf numFmtId="0" fontId="66" fillId="0" borderId="69" xfId="0" applyFont="1" applyBorder="1" applyAlignment="1">
      <alignment horizontal="center" vertical="center" wrapText="1"/>
    </xf>
    <xf numFmtId="0" fontId="66" fillId="7" borderId="42" xfId="0" applyFont="1" applyFill="1" applyBorder="1" applyAlignment="1">
      <alignment horizontal="center" vertical="center" wrapText="1"/>
    </xf>
    <xf numFmtId="0" fontId="66" fillId="7" borderId="34" xfId="0" applyFont="1" applyFill="1" applyBorder="1" applyAlignment="1">
      <alignment horizontal="center" vertical="center" wrapText="1"/>
    </xf>
    <xf numFmtId="0" fontId="66" fillId="7" borderId="39" xfId="0" applyFont="1" applyFill="1" applyBorder="1" applyAlignment="1">
      <alignment horizontal="center" vertical="center" wrapText="1"/>
    </xf>
    <xf numFmtId="0" fontId="66" fillId="7" borderId="17" xfId="0" applyFont="1" applyFill="1" applyBorder="1" applyAlignment="1">
      <alignment horizontal="center" vertical="center" wrapText="1"/>
    </xf>
    <xf numFmtId="0" fontId="66" fillId="7" borderId="0" xfId="0" applyFont="1" applyFill="1" applyBorder="1" applyAlignment="1">
      <alignment horizontal="center" vertical="center" wrapText="1"/>
    </xf>
    <xf numFmtId="0" fontId="66" fillId="7" borderId="44" xfId="0" applyFont="1" applyFill="1" applyBorder="1" applyAlignment="1">
      <alignment horizontal="center" vertical="center" wrapText="1"/>
    </xf>
    <xf numFmtId="0" fontId="66" fillId="7" borderId="72" xfId="0" applyFont="1" applyFill="1" applyBorder="1" applyAlignment="1">
      <alignment horizontal="center" vertical="center" wrapText="1"/>
    </xf>
    <xf numFmtId="0" fontId="66" fillId="7" borderId="68" xfId="0" applyFont="1" applyFill="1" applyBorder="1" applyAlignment="1">
      <alignment horizontal="center" vertical="center" wrapText="1"/>
    </xf>
    <xf numFmtId="0" fontId="66" fillId="7" borderId="69" xfId="0" applyFont="1" applyFill="1" applyBorder="1" applyAlignment="1">
      <alignment horizontal="center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0" borderId="80" xfId="0" applyFont="1" applyBorder="1" applyAlignment="1">
      <alignment horizontal="left" vertical="center" wrapText="1"/>
    </xf>
    <xf numFmtId="0" fontId="66" fillId="0" borderId="22" xfId="0" applyFont="1" applyBorder="1" applyAlignment="1">
      <alignment horizontal="left" vertical="center" wrapText="1"/>
    </xf>
    <xf numFmtId="0" fontId="66" fillId="7" borderId="20" xfId="0" applyFont="1" applyFill="1" applyBorder="1" applyAlignment="1">
      <alignment horizontal="left" vertical="center" wrapText="1"/>
    </xf>
    <xf numFmtId="0" fontId="66" fillId="7" borderId="80" xfId="0" applyFont="1" applyFill="1" applyBorder="1" applyAlignment="1">
      <alignment horizontal="left" vertical="center" wrapText="1"/>
    </xf>
    <xf numFmtId="0" fontId="66" fillId="7" borderId="22" xfId="0" applyFont="1" applyFill="1" applyBorder="1" applyAlignment="1">
      <alignment horizontal="left" vertical="center" wrapText="1"/>
    </xf>
    <xf numFmtId="0" fontId="66" fillId="8" borderId="19" xfId="0" applyFont="1" applyFill="1" applyBorder="1" applyAlignment="1">
      <alignment horizontal="center" vertical="center"/>
    </xf>
    <xf numFmtId="0" fontId="66" fillId="8" borderId="19" xfId="0" applyFont="1" applyFill="1" applyBorder="1" applyAlignment="1">
      <alignment vertical="center" wrapText="1"/>
    </xf>
    <xf numFmtId="0" fontId="66" fillId="8" borderId="20" xfId="0" applyFont="1" applyFill="1" applyBorder="1" applyAlignment="1">
      <alignment horizontal="center" vertical="center" wrapText="1"/>
    </xf>
    <xf numFmtId="0" fontId="66" fillId="8" borderId="80" xfId="0" applyFont="1" applyFill="1" applyBorder="1" applyAlignment="1">
      <alignment horizontal="center" vertical="center" wrapText="1"/>
    </xf>
    <xf numFmtId="0" fontId="66" fillId="8" borderId="22" xfId="0" applyFont="1" applyFill="1" applyBorder="1" applyAlignment="1">
      <alignment horizontal="center" vertical="center" wrapText="1"/>
    </xf>
    <xf numFmtId="0" fontId="67" fillId="0" borderId="19" xfId="0" applyFont="1" applyBorder="1" applyAlignment="1">
      <alignment vertical="center" wrapText="1"/>
    </xf>
    <xf numFmtId="0" fontId="66" fillId="5" borderId="41" xfId="0" applyFont="1" applyFill="1" applyBorder="1" applyAlignment="1">
      <alignment horizontal="center" vertical="center" wrapText="1"/>
    </xf>
    <xf numFmtId="0" fontId="66" fillId="5" borderId="58" xfId="0" applyFont="1" applyFill="1" applyBorder="1" applyAlignment="1">
      <alignment horizontal="center" vertical="center" wrapText="1"/>
    </xf>
    <xf numFmtId="0" fontId="66" fillId="5" borderId="40" xfId="0" applyFont="1" applyFill="1" applyBorder="1" applyAlignment="1">
      <alignment horizontal="center" vertical="center" wrapText="1"/>
    </xf>
    <xf numFmtId="2" fontId="66" fillId="0" borderId="20" xfId="0" applyNumberFormat="1" applyFont="1" applyBorder="1" applyAlignment="1">
      <alignment horizontal="center" vertical="center"/>
    </xf>
    <xf numFmtId="2" fontId="66" fillId="0" borderId="22" xfId="0" applyNumberFormat="1" applyFont="1" applyBorder="1" applyAlignment="1">
      <alignment horizontal="center" vertical="center"/>
    </xf>
    <xf numFmtId="43" fontId="76" fillId="6" borderId="19" xfId="2" applyNumberFormat="1" applyFont="1" applyFill="1" applyBorder="1" applyAlignment="1">
      <alignment horizontal="center" vertical="center" wrapText="1"/>
    </xf>
    <xf numFmtId="164" fontId="68" fillId="0" borderId="19" xfId="0" applyNumberFormat="1" applyFont="1" applyBorder="1" applyAlignment="1">
      <alignment vertical="center"/>
    </xf>
    <xf numFmtId="43" fontId="76" fillId="6" borderId="20" xfId="2" applyNumberFormat="1" applyFont="1" applyFill="1" applyBorder="1" applyAlignment="1">
      <alignment horizontal="center" vertical="center" wrapText="1"/>
    </xf>
    <xf numFmtId="43" fontId="76" fillId="6" borderId="80" xfId="2" applyNumberFormat="1" applyFont="1" applyFill="1" applyBorder="1" applyAlignment="1">
      <alignment horizontal="center" vertical="center" wrapText="1"/>
    </xf>
    <xf numFmtId="43" fontId="76" fillId="6" borderId="22" xfId="2" applyNumberFormat="1" applyFont="1" applyFill="1" applyBorder="1" applyAlignment="1">
      <alignment horizontal="center" vertical="center" wrapText="1"/>
    </xf>
    <xf numFmtId="2" fontId="66" fillId="5" borderId="20" xfId="0" applyNumberFormat="1" applyFont="1" applyFill="1" applyBorder="1" applyAlignment="1">
      <alignment horizontal="center" vertical="center"/>
    </xf>
    <xf numFmtId="2" fontId="66" fillId="5" borderId="80" xfId="0" applyNumberFormat="1" applyFont="1" applyFill="1" applyBorder="1" applyAlignment="1">
      <alignment horizontal="center" vertical="center"/>
    </xf>
    <xf numFmtId="2" fontId="66" fillId="5" borderId="22" xfId="0" applyNumberFormat="1" applyFont="1" applyFill="1" applyBorder="1" applyAlignment="1">
      <alignment horizontal="center" vertical="center"/>
    </xf>
    <xf numFmtId="0" fontId="69" fillId="5" borderId="20" xfId="0" applyFont="1" applyFill="1" applyBorder="1" applyAlignment="1">
      <alignment horizontal="center" vertical="center"/>
    </xf>
    <xf numFmtId="0" fontId="69" fillId="5" borderId="80" xfId="0" applyFont="1" applyFill="1" applyBorder="1" applyAlignment="1">
      <alignment horizontal="center" vertical="center"/>
    </xf>
    <xf numFmtId="0" fontId="69" fillId="5" borderId="22" xfId="0" applyFont="1" applyFill="1" applyBorder="1" applyAlignment="1">
      <alignment horizontal="center" vertical="center"/>
    </xf>
    <xf numFmtId="0" fontId="66" fillId="0" borderId="19" xfId="0" applyFont="1" applyBorder="1" applyAlignment="1">
      <alignment horizontal="left" vertical="center" wrapText="1"/>
    </xf>
    <xf numFmtId="0" fontId="9" fillId="5" borderId="19" xfId="0" applyFont="1" applyFill="1" applyBorder="1" applyAlignment="1">
      <alignment horizontal="left" vertical="center"/>
    </xf>
    <xf numFmtId="0" fontId="69" fillId="0" borderId="20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43" fontId="76" fillId="6" borderId="19" xfId="2" applyNumberFormat="1" applyFont="1" applyFill="1" applyBorder="1" applyAlignment="1">
      <alignment horizontal="right" vertical="center" wrapText="1"/>
    </xf>
    <xf numFmtId="164" fontId="68" fillId="0" borderId="19" xfId="0" applyNumberFormat="1" applyFont="1" applyBorder="1" applyAlignment="1">
      <alignment horizontal="right" vertical="center"/>
    </xf>
    <xf numFmtId="0" fontId="71" fillId="6" borderId="19" xfId="0" applyFont="1" applyFill="1" applyBorder="1" applyAlignment="1">
      <alignment horizontal="center" vertical="center" wrapText="1"/>
    </xf>
    <xf numFmtId="0" fontId="66" fillId="5" borderId="20" xfId="0" applyFont="1" applyFill="1" applyBorder="1" applyAlignment="1">
      <alignment horizontal="center" vertical="center"/>
    </xf>
    <xf numFmtId="0" fontId="66" fillId="5" borderId="80" xfId="0" applyFont="1" applyFill="1" applyBorder="1" applyAlignment="1">
      <alignment horizontal="center" vertical="center"/>
    </xf>
    <xf numFmtId="0" fontId="66" fillId="5" borderId="22" xfId="0" applyFont="1" applyFill="1" applyBorder="1" applyAlignment="1">
      <alignment horizontal="center" vertical="center"/>
    </xf>
    <xf numFmtId="0" fontId="66" fillId="8" borderId="34" xfId="0" applyFont="1" applyFill="1" applyBorder="1" applyAlignment="1">
      <alignment horizontal="center" vertical="center" wrapText="1"/>
    </xf>
    <xf numFmtId="0" fontId="66" fillId="8" borderId="68" xfId="0" applyFont="1" applyFill="1" applyBorder="1" applyAlignment="1">
      <alignment horizontal="center" vertical="center" wrapText="1"/>
    </xf>
    <xf numFmtId="2" fontId="66" fillId="8" borderId="58" xfId="0" applyNumberFormat="1" applyFont="1" applyFill="1" applyBorder="1" applyAlignment="1">
      <alignment horizontal="center" vertical="center" wrapText="1"/>
    </xf>
    <xf numFmtId="2" fontId="66" fillId="7" borderId="58" xfId="0" applyNumberFormat="1" applyFont="1" applyFill="1" applyBorder="1" applyAlignment="1">
      <alignment horizontal="center" vertical="center" wrapText="1"/>
    </xf>
    <xf numFmtId="2" fontId="66" fillId="0" borderId="41" xfId="0" applyNumberFormat="1" applyFont="1" applyBorder="1" applyAlignment="1">
      <alignment horizontal="center" vertical="center" wrapText="1"/>
    </xf>
    <xf numFmtId="2" fontId="66" fillId="0" borderId="58" xfId="0" applyNumberFormat="1" applyFont="1" applyBorder="1" applyAlignment="1">
      <alignment horizontal="center" vertical="center" wrapText="1"/>
    </xf>
    <xf numFmtId="2" fontId="66" fillId="0" borderId="40" xfId="0" applyNumberFormat="1" applyFont="1" applyBorder="1" applyAlignment="1">
      <alignment horizontal="center" vertical="center" wrapText="1"/>
    </xf>
    <xf numFmtId="2" fontId="66" fillId="5" borderId="41" xfId="0" applyNumberFormat="1" applyFont="1" applyFill="1" applyBorder="1" applyAlignment="1">
      <alignment horizontal="center" vertical="center" wrapText="1"/>
    </xf>
    <xf numFmtId="2" fontId="66" fillId="5" borderId="58" xfId="0" applyNumberFormat="1" applyFont="1" applyFill="1" applyBorder="1" applyAlignment="1">
      <alignment horizontal="center" vertical="center" wrapText="1"/>
    </xf>
    <xf numFmtId="2" fontId="66" fillId="5" borderId="40" xfId="0" applyNumberFormat="1" applyFont="1" applyFill="1" applyBorder="1" applyAlignment="1">
      <alignment horizontal="center" vertical="center" wrapText="1"/>
    </xf>
    <xf numFmtId="164" fontId="68" fillId="7" borderId="20" xfId="0" applyNumberFormat="1" applyFont="1" applyFill="1" applyBorder="1" applyAlignment="1">
      <alignment horizontal="center" vertical="center"/>
    </xf>
    <xf numFmtId="164" fontId="68" fillId="7" borderId="80" xfId="0" applyNumberFormat="1" applyFont="1" applyFill="1" applyBorder="1" applyAlignment="1">
      <alignment horizontal="center" vertical="center"/>
    </xf>
    <xf numFmtId="164" fontId="68" fillId="7" borderId="22" xfId="0" applyNumberFormat="1" applyFont="1" applyFill="1" applyBorder="1" applyAlignment="1">
      <alignment horizontal="center" vertical="center"/>
    </xf>
    <xf numFmtId="0" fontId="66" fillId="5" borderId="20" xfId="0" applyFont="1" applyFill="1" applyBorder="1" applyAlignment="1">
      <alignment horizontal="left" vertical="top" wrapText="1"/>
    </xf>
    <xf numFmtId="0" fontId="66" fillId="5" borderId="80" xfId="0" applyFont="1" applyFill="1" applyBorder="1" applyAlignment="1">
      <alignment horizontal="left" vertical="top" wrapText="1"/>
    </xf>
    <xf numFmtId="0" fontId="66" fillId="5" borderId="22" xfId="0" applyFont="1" applyFill="1" applyBorder="1" applyAlignment="1">
      <alignment horizontal="left" vertical="top" wrapText="1"/>
    </xf>
    <xf numFmtId="0" fontId="66" fillId="8" borderId="17" xfId="0" applyFont="1" applyFill="1" applyBorder="1" applyAlignment="1">
      <alignment horizontal="center" vertical="center" wrapText="1"/>
    </xf>
    <xf numFmtId="0" fontId="66" fillId="8" borderId="0" xfId="0" applyFont="1" applyFill="1" applyBorder="1" applyAlignment="1">
      <alignment horizontal="center" vertical="center" wrapText="1"/>
    </xf>
    <xf numFmtId="0" fontId="66" fillId="8" borderId="44" xfId="0" applyFont="1" applyFill="1" applyBorder="1" applyAlignment="1">
      <alignment horizontal="center" vertical="center" wrapText="1"/>
    </xf>
    <xf numFmtId="0" fontId="77" fillId="6" borderId="20" xfId="0" applyFont="1" applyFill="1" applyBorder="1" applyAlignment="1">
      <alignment horizontal="center" vertical="center"/>
    </xf>
    <xf numFmtId="0" fontId="77" fillId="6" borderId="22" xfId="0" applyFont="1" applyFill="1" applyBorder="1" applyAlignment="1">
      <alignment horizontal="center" vertical="center"/>
    </xf>
    <xf numFmtId="0" fontId="67" fillId="6" borderId="20" xfId="0" applyFont="1" applyFill="1" applyBorder="1" applyAlignment="1">
      <alignment horizontal="center" vertical="center" wrapText="1"/>
    </xf>
    <xf numFmtId="0" fontId="67" fillId="6" borderId="22" xfId="0" applyFont="1" applyFill="1" applyBorder="1" applyAlignment="1">
      <alignment horizontal="center" vertical="center" wrapText="1"/>
    </xf>
    <xf numFmtId="0" fontId="78" fillId="6" borderId="41" xfId="0" applyFont="1" applyFill="1" applyBorder="1" applyAlignment="1">
      <alignment horizontal="center" vertical="center" wrapText="1"/>
    </xf>
    <xf numFmtId="0" fontId="78" fillId="6" borderId="58" xfId="0" applyFont="1" applyFill="1" applyBorder="1" applyAlignment="1">
      <alignment horizontal="center" vertical="center" wrapText="1"/>
    </xf>
    <xf numFmtId="0" fontId="78" fillId="6" borderId="40" xfId="0" applyFont="1" applyFill="1" applyBorder="1" applyAlignment="1">
      <alignment horizontal="center" vertical="center" wrapText="1"/>
    </xf>
    <xf numFmtId="0" fontId="67" fillId="6" borderId="19" xfId="0" applyFont="1" applyFill="1" applyBorder="1" applyAlignment="1">
      <alignment horizontal="center" vertical="center" wrapText="1"/>
    </xf>
    <xf numFmtId="0" fontId="78" fillId="6" borderId="20" xfId="0" applyFont="1" applyFill="1" applyBorder="1" applyAlignment="1">
      <alignment horizontal="center" vertical="center" wrapText="1"/>
    </xf>
    <xf numFmtId="0" fontId="78" fillId="6" borderId="22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left" vertical="center" wrapText="1"/>
    </xf>
    <xf numFmtId="0" fontId="13" fillId="0" borderId="19" xfId="0" applyFont="1" applyBorder="1" applyAlignment="1">
      <alignment vertical="center" wrapText="1"/>
    </xf>
    <xf numFmtId="0" fontId="13" fillId="7" borderId="19" xfId="0" applyFont="1" applyFill="1" applyBorder="1" applyAlignment="1">
      <alignment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80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67" fillId="6" borderId="41" xfId="0" applyFont="1" applyFill="1" applyBorder="1" applyAlignment="1">
      <alignment horizontal="center" vertical="center" wrapText="1"/>
    </xf>
    <xf numFmtId="0" fontId="67" fillId="6" borderId="58" xfId="0" applyFont="1" applyFill="1" applyBorder="1" applyAlignment="1">
      <alignment horizontal="center" vertical="center" wrapText="1"/>
    </xf>
    <xf numFmtId="0" fontId="67" fillId="6" borderId="40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13" fillId="7" borderId="20" xfId="0" applyFont="1" applyFill="1" applyBorder="1" applyAlignment="1">
      <alignment horizontal="left" vertical="center" wrapText="1"/>
    </xf>
    <xf numFmtId="0" fontId="13" fillId="7" borderId="80" xfId="0" applyFont="1" applyFill="1" applyBorder="1" applyAlignment="1">
      <alignment horizontal="left" vertical="center" wrapText="1"/>
    </xf>
    <xf numFmtId="0" fontId="13" fillId="7" borderId="22" xfId="0" applyFont="1" applyFill="1" applyBorder="1" applyAlignment="1">
      <alignment horizontal="left" vertical="center" wrapText="1"/>
    </xf>
    <xf numFmtId="0" fontId="13" fillId="8" borderId="19" xfId="0" applyFont="1" applyFill="1" applyBorder="1" applyAlignment="1">
      <alignment vertical="center" wrapText="1"/>
    </xf>
    <xf numFmtId="0" fontId="13" fillId="5" borderId="20" xfId="0" applyFont="1" applyFill="1" applyBorder="1" applyAlignment="1">
      <alignment horizontal="left" vertical="top" wrapText="1"/>
    </xf>
    <xf numFmtId="0" fontId="13" fillId="5" borderId="80" xfId="0" applyFont="1" applyFill="1" applyBorder="1" applyAlignment="1">
      <alignment horizontal="left" vertical="top" wrapText="1"/>
    </xf>
    <xf numFmtId="0" fontId="13" fillId="5" borderId="22" xfId="0" applyFont="1" applyFill="1" applyBorder="1" applyAlignment="1">
      <alignment horizontal="left" vertical="top" wrapText="1"/>
    </xf>
    <xf numFmtId="0" fontId="13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43" fontId="68" fillId="6" borderId="20" xfId="2" applyNumberFormat="1" applyFont="1" applyFill="1" applyBorder="1" applyAlignment="1">
      <alignment horizontal="center" vertical="center" wrapText="1"/>
    </xf>
    <xf numFmtId="43" fontId="68" fillId="6" borderId="80" xfId="2" applyNumberFormat="1" applyFont="1" applyFill="1" applyBorder="1" applyAlignment="1">
      <alignment horizontal="center" vertical="center" wrapText="1"/>
    </xf>
    <xf numFmtId="43" fontId="68" fillId="6" borderId="22" xfId="2" applyNumberFormat="1" applyFont="1" applyFill="1" applyBorder="1" applyAlignment="1">
      <alignment horizontal="center" vertical="center" wrapText="1"/>
    </xf>
    <xf numFmtId="164" fontId="74" fillId="6" borderId="20" xfId="0" applyNumberFormat="1" applyFont="1" applyFill="1" applyBorder="1" applyAlignment="1">
      <alignment horizontal="center" vertical="center"/>
    </xf>
    <xf numFmtId="164" fontId="74" fillId="6" borderId="80" xfId="0" applyNumberFormat="1" applyFont="1" applyFill="1" applyBorder="1" applyAlignment="1">
      <alignment horizontal="center" vertical="center"/>
    </xf>
    <xf numFmtId="164" fontId="74" fillId="6" borderId="22" xfId="0" applyNumberFormat="1" applyFont="1" applyFill="1" applyBorder="1" applyAlignment="1">
      <alignment horizontal="center" vertical="center"/>
    </xf>
    <xf numFmtId="0" fontId="0" fillId="0" borderId="80" xfId="0" applyBorder="1"/>
    <xf numFmtId="0" fontId="0" fillId="0" borderId="22" xfId="0" applyBorder="1"/>
    <xf numFmtId="43" fontId="68" fillId="6" borderId="19" xfId="2" applyNumberFormat="1" applyFont="1" applyFill="1" applyBorder="1" applyAlignment="1">
      <alignment horizontal="right" vertical="center" wrapText="1"/>
    </xf>
    <xf numFmtId="164" fontId="74" fillId="6" borderId="19" xfId="0" applyNumberFormat="1" applyFont="1" applyFill="1" applyBorder="1" applyAlignment="1">
      <alignment horizontal="right" vertical="center"/>
    </xf>
    <xf numFmtId="43" fontId="68" fillId="6" borderId="19" xfId="2" applyNumberFormat="1" applyFont="1" applyFill="1" applyBorder="1" applyAlignment="1">
      <alignment horizontal="center" vertical="center" wrapText="1"/>
    </xf>
    <xf numFmtId="164" fontId="74" fillId="6" borderId="19" xfId="0" applyNumberFormat="1" applyFont="1" applyFill="1" applyBorder="1" applyAlignment="1">
      <alignment vertical="center"/>
    </xf>
    <xf numFmtId="4" fontId="68" fillId="6" borderId="20" xfId="0" applyNumberFormat="1" applyFont="1" applyFill="1" applyBorder="1" applyAlignment="1">
      <alignment horizontal="right" vertical="center"/>
    </xf>
    <xf numFmtId="4" fontId="68" fillId="6" borderId="22" xfId="0" applyNumberFormat="1" applyFont="1" applyFill="1" applyBorder="1" applyAlignment="1">
      <alignment horizontal="right" vertical="center"/>
    </xf>
    <xf numFmtId="4" fontId="68" fillId="6" borderId="80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7.w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7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6.jpeg"/><Relationship Id="rId1" Type="http://schemas.openxmlformats.org/officeDocument/2006/relationships/image" Target="../media/image4.jpeg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7.w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36</xdr:row>
      <xdr:rowOff>76200</xdr:rowOff>
    </xdr:from>
    <xdr:to>
      <xdr:col>3</xdr:col>
      <xdr:colOff>1409700</xdr:colOff>
      <xdr:row>36</xdr:row>
      <xdr:rowOff>438150</xdr:rowOff>
    </xdr:to>
    <xdr:sp macro="" textlink="">
      <xdr:nvSpPr>
        <xdr:cNvPr id="1073" name="Text Box 49"/>
        <xdr:cNvSpPr txBox="1">
          <a:spLocks noChangeArrowheads="1"/>
        </xdr:cNvSpPr>
      </xdr:nvSpPr>
      <xdr:spPr bwMode="auto">
        <a:xfrm>
          <a:off x="12277725" y="22336125"/>
          <a:ext cx="10096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1">
            <a:defRPr sz="1000"/>
          </a:pPr>
          <a:r>
            <a:rPr lang="ru-RU" sz="2000" b="0" i="0" strike="noStrike">
              <a:solidFill>
                <a:srgbClr val="000000"/>
              </a:solidFill>
              <a:latin typeface="Arial Cyr"/>
            </a:rPr>
            <a:t>за 1 м.</a:t>
          </a:r>
        </a:p>
      </xdr:txBody>
    </xdr:sp>
    <xdr:clientData/>
  </xdr:twoCellAnchor>
  <xdr:twoCellAnchor>
    <xdr:from>
      <xdr:col>4</xdr:col>
      <xdr:colOff>419100</xdr:colOff>
      <xdr:row>36</xdr:row>
      <xdr:rowOff>76200</xdr:rowOff>
    </xdr:from>
    <xdr:to>
      <xdr:col>4</xdr:col>
      <xdr:colOff>1428750</xdr:colOff>
      <xdr:row>36</xdr:row>
      <xdr:rowOff>438150</xdr:rowOff>
    </xdr:to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13992225" y="22336125"/>
          <a:ext cx="10096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1">
            <a:defRPr sz="1000"/>
          </a:pPr>
          <a:r>
            <a:rPr lang="ru-RU" sz="2000" b="0" i="0" strike="noStrike">
              <a:solidFill>
                <a:srgbClr val="000000"/>
              </a:solidFill>
              <a:latin typeface="Arial Cyr"/>
            </a:rPr>
            <a:t>за 1 м.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114300</xdr:rowOff>
    </xdr:from>
    <xdr:to>
      <xdr:col>2</xdr:col>
      <xdr:colOff>4162425</xdr:colOff>
      <xdr:row>1</xdr:row>
      <xdr:rowOff>85725</xdr:rowOff>
    </xdr:to>
    <xdr:pic>
      <xdr:nvPicPr>
        <xdr:cNvPr id="2106" name="Picture 53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114300"/>
          <a:ext cx="518160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285750</xdr:colOff>
      <xdr:row>0</xdr:row>
      <xdr:rowOff>0</xdr:rowOff>
    </xdr:from>
    <xdr:to>
      <xdr:col>13</xdr:col>
      <xdr:colOff>1859949</xdr:colOff>
      <xdr:row>2</xdr:row>
      <xdr:rowOff>285750</xdr:rowOff>
    </xdr:to>
    <xdr:pic>
      <xdr:nvPicPr>
        <xdr:cNvPr id="2107" name="Рисунок 6" descr="печать на прайс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412325" y="0"/>
          <a:ext cx="8658225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9165498</xdr:colOff>
      <xdr:row>10</xdr:row>
      <xdr:rowOff>77230</xdr:rowOff>
    </xdr:from>
    <xdr:to>
      <xdr:col>2</xdr:col>
      <xdr:colOff>10147476</xdr:colOff>
      <xdr:row>10</xdr:row>
      <xdr:rowOff>1055474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735836" y="10760676"/>
          <a:ext cx="981978" cy="97824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114300</xdr:rowOff>
    </xdr:from>
    <xdr:to>
      <xdr:col>1</xdr:col>
      <xdr:colOff>4629150</xdr:colOff>
      <xdr:row>1</xdr:row>
      <xdr:rowOff>19050</xdr:rowOff>
    </xdr:to>
    <xdr:pic>
      <xdr:nvPicPr>
        <xdr:cNvPr id="2" name="Picture 22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14300"/>
          <a:ext cx="49339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226218</xdr:colOff>
      <xdr:row>0</xdr:row>
      <xdr:rowOff>111125</xdr:rowOff>
    </xdr:from>
    <xdr:to>
      <xdr:col>18</xdr:col>
      <xdr:colOff>733424</xdr:colOff>
      <xdr:row>0</xdr:row>
      <xdr:rowOff>927893</xdr:rowOff>
    </xdr:to>
    <xdr:pic>
      <xdr:nvPicPr>
        <xdr:cNvPr id="3" name="Рисунок 6" descr="печать на прайс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552443" y="111125"/>
          <a:ext cx="4190206" cy="816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8836026</xdr:colOff>
      <xdr:row>20</xdr:row>
      <xdr:rowOff>109991</xdr:rowOff>
    </xdr:from>
    <xdr:to>
      <xdr:col>1</xdr:col>
      <xdr:colOff>9629774</xdr:colOff>
      <xdr:row>22</xdr:row>
      <xdr:rowOff>231775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445626" y="8511041"/>
          <a:ext cx="793748" cy="69328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7731052</xdr:colOff>
      <xdr:row>70</xdr:row>
      <xdr:rowOff>114084</xdr:rowOff>
    </xdr:from>
    <xdr:to>
      <xdr:col>1</xdr:col>
      <xdr:colOff>7732445</xdr:colOff>
      <xdr:row>71</xdr:row>
      <xdr:rowOff>190719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50152" y="28174734"/>
          <a:ext cx="474857" cy="46716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8899525</xdr:colOff>
      <xdr:row>74</xdr:row>
      <xdr:rowOff>91930</xdr:rowOff>
    </xdr:from>
    <xdr:to>
      <xdr:col>1</xdr:col>
      <xdr:colOff>9613900</xdr:colOff>
      <xdr:row>74</xdr:row>
      <xdr:rowOff>723900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09125" y="31733980"/>
          <a:ext cx="714375" cy="63197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7353299</xdr:colOff>
      <xdr:row>62</xdr:row>
      <xdr:rowOff>133350</xdr:rowOff>
    </xdr:from>
    <xdr:to>
      <xdr:col>1</xdr:col>
      <xdr:colOff>7356475</xdr:colOff>
      <xdr:row>63</xdr:row>
      <xdr:rowOff>171450</xdr:rowOff>
    </xdr:to>
    <xdr:pic>
      <xdr:nvPicPr>
        <xdr:cNvPr id="7" name="Picture 23" descr="new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72399" y="23193375"/>
          <a:ext cx="704851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8959850</xdr:colOff>
      <xdr:row>70</xdr:row>
      <xdr:rowOff>88900</xdr:rowOff>
    </xdr:from>
    <xdr:to>
      <xdr:col>1</xdr:col>
      <xdr:colOff>9674225</xdr:colOff>
      <xdr:row>72</xdr:row>
      <xdr:rowOff>9670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69450" y="30092650"/>
          <a:ext cx="714375" cy="64467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8899525</xdr:colOff>
      <xdr:row>62</xdr:row>
      <xdr:rowOff>146050</xdr:rowOff>
    </xdr:from>
    <xdr:to>
      <xdr:col>1</xdr:col>
      <xdr:colOff>9604376</xdr:colOff>
      <xdr:row>63</xdr:row>
      <xdr:rowOff>189441</xdr:rowOff>
    </xdr:to>
    <xdr:pic>
      <xdr:nvPicPr>
        <xdr:cNvPr id="9" name="Picture 23" descr="new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09125" y="25101550"/>
          <a:ext cx="704851" cy="63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114300</xdr:rowOff>
    </xdr:from>
    <xdr:to>
      <xdr:col>1</xdr:col>
      <xdr:colOff>3500437</xdr:colOff>
      <xdr:row>0</xdr:row>
      <xdr:rowOff>952500</xdr:rowOff>
    </xdr:to>
    <xdr:pic>
      <xdr:nvPicPr>
        <xdr:cNvPr id="2" name="Picture 22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14300"/>
          <a:ext cx="36004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111124</xdr:rowOff>
    </xdr:from>
    <xdr:to>
      <xdr:col>9</xdr:col>
      <xdr:colOff>571499</xdr:colOff>
      <xdr:row>1</xdr:row>
      <xdr:rowOff>228373</xdr:rowOff>
    </xdr:to>
    <xdr:pic>
      <xdr:nvPicPr>
        <xdr:cNvPr id="3" name="Рисунок 6" descr="печать на прайс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215563" y="111124"/>
          <a:ext cx="3929062" cy="1331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8836026</xdr:colOff>
      <xdr:row>20</xdr:row>
      <xdr:rowOff>109991</xdr:rowOff>
    </xdr:from>
    <xdr:to>
      <xdr:col>2</xdr:col>
      <xdr:colOff>4762</xdr:colOff>
      <xdr:row>22</xdr:row>
      <xdr:rowOff>231775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445626" y="8625341"/>
          <a:ext cx="793748" cy="67423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7731052</xdr:colOff>
      <xdr:row>70</xdr:row>
      <xdr:rowOff>114084</xdr:rowOff>
    </xdr:from>
    <xdr:to>
      <xdr:col>2</xdr:col>
      <xdr:colOff>2908</xdr:colOff>
      <xdr:row>71</xdr:row>
      <xdr:rowOff>190719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340652" y="30927459"/>
          <a:ext cx="1393" cy="46716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8899525</xdr:colOff>
      <xdr:row>74</xdr:row>
      <xdr:rowOff>91930</xdr:rowOff>
    </xdr:from>
    <xdr:to>
      <xdr:col>2</xdr:col>
      <xdr:colOff>12701</xdr:colOff>
      <xdr:row>74</xdr:row>
      <xdr:rowOff>723900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09125" y="32515030"/>
          <a:ext cx="714375" cy="63197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7353299</xdr:colOff>
      <xdr:row>62</xdr:row>
      <xdr:rowOff>133350</xdr:rowOff>
    </xdr:from>
    <xdr:to>
      <xdr:col>2</xdr:col>
      <xdr:colOff>6349</xdr:colOff>
      <xdr:row>63</xdr:row>
      <xdr:rowOff>171450</xdr:rowOff>
    </xdr:to>
    <xdr:pic>
      <xdr:nvPicPr>
        <xdr:cNvPr id="7" name="Picture 23" descr="new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962899" y="25946100"/>
          <a:ext cx="3176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8959850</xdr:colOff>
      <xdr:row>70</xdr:row>
      <xdr:rowOff>88900</xdr:rowOff>
    </xdr:from>
    <xdr:to>
      <xdr:col>2</xdr:col>
      <xdr:colOff>1588</xdr:colOff>
      <xdr:row>72</xdr:row>
      <xdr:rowOff>9669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69450" y="30902275"/>
          <a:ext cx="714375" cy="6256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8899525</xdr:colOff>
      <xdr:row>62</xdr:row>
      <xdr:rowOff>146050</xdr:rowOff>
    </xdr:from>
    <xdr:to>
      <xdr:col>2</xdr:col>
      <xdr:colOff>12700</xdr:colOff>
      <xdr:row>63</xdr:row>
      <xdr:rowOff>189441</xdr:rowOff>
    </xdr:to>
    <xdr:pic>
      <xdr:nvPicPr>
        <xdr:cNvPr id="9" name="Picture 23" descr="new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509125" y="25958800"/>
          <a:ext cx="704851" cy="633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0</xdr:rowOff>
    </xdr:from>
    <xdr:to>
      <xdr:col>2</xdr:col>
      <xdr:colOff>3314700</xdr:colOff>
      <xdr:row>1</xdr:row>
      <xdr:rowOff>76200</xdr:rowOff>
    </xdr:to>
    <xdr:pic>
      <xdr:nvPicPr>
        <xdr:cNvPr id="3130" name="Picture 22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45815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923925</xdr:colOff>
      <xdr:row>0</xdr:row>
      <xdr:rowOff>0</xdr:rowOff>
    </xdr:from>
    <xdr:to>
      <xdr:col>13</xdr:col>
      <xdr:colOff>2152650</xdr:colOff>
      <xdr:row>3</xdr:row>
      <xdr:rowOff>19050</xdr:rowOff>
    </xdr:to>
    <xdr:pic>
      <xdr:nvPicPr>
        <xdr:cNvPr id="3131" name="Рисунок 5" descr="печать на прайс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298275" y="0"/>
          <a:ext cx="7505700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57150</xdr:colOff>
      <xdr:row>10</xdr:row>
      <xdr:rowOff>133350</xdr:rowOff>
    </xdr:from>
    <xdr:to>
      <xdr:col>3</xdr:col>
      <xdr:colOff>2085975</xdr:colOff>
      <xdr:row>10</xdr:row>
      <xdr:rowOff>514350</xdr:rowOff>
    </xdr:to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14335125" y="8782050"/>
          <a:ext cx="20288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1">
            <a:defRPr sz="1000"/>
          </a:pPr>
          <a:r>
            <a:rPr lang="ru-RU" sz="2000" b="0" i="0" strike="noStrike">
              <a:solidFill>
                <a:srgbClr val="000000"/>
              </a:solidFill>
              <a:latin typeface="Arial Cyr"/>
            </a:rPr>
            <a:t>Комплект (А+Б)</a:t>
          </a:r>
        </a:p>
      </xdr:txBody>
    </xdr:sp>
    <xdr:clientData/>
  </xdr:twoCellAnchor>
  <xdr:twoCellAnchor>
    <xdr:from>
      <xdr:col>4</xdr:col>
      <xdr:colOff>190500</xdr:colOff>
      <xdr:row>10</xdr:row>
      <xdr:rowOff>114300</xdr:rowOff>
    </xdr:from>
    <xdr:to>
      <xdr:col>4</xdr:col>
      <xdr:colOff>2219325</xdr:colOff>
      <xdr:row>10</xdr:row>
      <xdr:rowOff>495300</xdr:rowOff>
    </xdr:to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16659225" y="8763000"/>
          <a:ext cx="20288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1">
            <a:defRPr sz="1000"/>
          </a:pPr>
          <a:r>
            <a:rPr lang="ru-RU" sz="2000" b="0" i="0" strike="noStrike">
              <a:solidFill>
                <a:srgbClr val="000000"/>
              </a:solidFill>
              <a:latin typeface="Arial Cyr"/>
            </a:rPr>
            <a:t>Комплект (А+Б)</a:t>
          </a:r>
        </a:p>
      </xdr:txBody>
    </xdr:sp>
    <xdr:clientData/>
  </xdr:twoCellAnchor>
  <xdr:twoCellAnchor editAs="oneCell">
    <xdr:from>
      <xdr:col>1</xdr:col>
      <xdr:colOff>71438</xdr:colOff>
      <xdr:row>16</xdr:row>
      <xdr:rowOff>452437</xdr:rowOff>
    </xdr:from>
    <xdr:to>
      <xdr:col>2</xdr:col>
      <xdr:colOff>7722</xdr:colOff>
      <xdr:row>18</xdr:row>
      <xdr:rowOff>75146</xdr:rowOff>
    </xdr:to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5313" y="14097000"/>
          <a:ext cx="1055472" cy="105145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80963</xdr:colOff>
      <xdr:row>19</xdr:row>
      <xdr:rowOff>319088</xdr:rowOff>
    </xdr:from>
    <xdr:to>
      <xdr:col>2</xdr:col>
      <xdr:colOff>17247</xdr:colOff>
      <xdr:row>20</xdr:row>
      <xdr:rowOff>656172</xdr:rowOff>
    </xdr:to>
    <xdr:pic>
      <xdr:nvPicPr>
        <xdr:cNvPr id="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4838" y="16106776"/>
          <a:ext cx="1055472" cy="105145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11382375</xdr:colOff>
      <xdr:row>7</xdr:row>
      <xdr:rowOff>166687</xdr:rowOff>
    </xdr:from>
    <xdr:to>
      <xdr:col>2</xdr:col>
      <xdr:colOff>12437847</xdr:colOff>
      <xdr:row>7</xdr:row>
      <xdr:rowOff>1218146</xdr:rowOff>
    </xdr:to>
    <xdr:pic>
      <xdr:nvPicPr>
        <xdr:cNvPr id="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25438" y="6119812"/>
          <a:ext cx="1055472" cy="105145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4</xdr:col>
      <xdr:colOff>123825</xdr:colOff>
      <xdr:row>2</xdr:row>
      <xdr:rowOff>142875</xdr:rowOff>
    </xdr:to>
    <xdr:pic>
      <xdr:nvPicPr>
        <xdr:cNvPr id="4152" name="Picture 8" descr="Безымянный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38100"/>
          <a:ext cx="21240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819150</xdr:colOff>
      <xdr:row>24</xdr:row>
      <xdr:rowOff>44450</xdr:rowOff>
    </xdr:from>
    <xdr:to>
      <xdr:col>7</xdr:col>
      <xdr:colOff>0</xdr:colOff>
      <xdr:row>25</xdr:row>
      <xdr:rowOff>219870</xdr:rowOff>
    </xdr:to>
    <xdr:pic>
      <xdr:nvPicPr>
        <xdr:cNvPr id="4153" name="Picture 9" descr="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27650" y="6338888"/>
          <a:ext cx="420688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779463</xdr:colOff>
      <xdr:row>43</xdr:row>
      <xdr:rowOff>504824</xdr:rowOff>
    </xdr:from>
    <xdr:to>
      <xdr:col>6</xdr:col>
      <xdr:colOff>1206500</xdr:colOff>
      <xdr:row>45</xdr:row>
      <xdr:rowOff>100804</xdr:rowOff>
    </xdr:to>
    <xdr:pic>
      <xdr:nvPicPr>
        <xdr:cNvPr id="8" name="Picture 12" descr="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94313" y="12401549"/>
          <a:ext cx="427037" cy="453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782638</xdr:colOff>
      <xdr:row>37</xdr:row>
      <xdr:rowOff>158749</xdr:rowOff>
    </xdr:from>
    <xdr:to>
      <xdr:col>6</xdr:col>
      <xdr:colOff>1209675</xdr:colOff>
      <xdr:row>39</xdr:row>
      <xdr:rowOff>71436</xdr:rowOff>
    </xdr:to>
    <xdr:pic>
      <xdr:nvPicPr>
        <xdr:cNvPr id="14" name="Picture 12" descr="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297488" y="10007599"/>
          <a:ext cx="427037" cy="531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809625</xdr:colOff>
      <xdr:row>7</xdr:row>
      <xdr:rowOff>698500</xdr:rowOff>
    </xdr:from>
    <xdr:to>
      <xdr:col>7</xdr:col>
      <xdr:colOff>0</xdr:colOff>
      <xdr:row>9</xdr:row>
      <xdr:rowOff>73025</xdr:rowOff>
    </xdr:to>
    <xdr:pic>
      <xdr:nvPicPr>
        <xdr:cNvPr id="10" name="Picture 12" descr="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18125" y="1730375"/>
          <a:ext cx="428625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681743</xdr:colOff>
      <xdr:row>21</xdr:row>
      <xdr:rowOff>38101</xdr:rowOff>
    </xdr:from>
    <xdr:to>
      <xdr:col>6</xdr:col>
      <xdr:colOff>1159810</xdr:colOff>
      <xdr:row>23</xdr:row>
      <xdr:rowOff>130969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96593" y="5467351"/>
          <a:ext cx="478067" cy="476249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657225</xdr:colOff>
      <xdr:row>32</xdr:row>
      <xdr:rowOff>38100</xdr:rowOff>
    </xdr:from>
    <xdr:to>
      <xdr:col>6</xdr:col>
      <xdr:colOff>1173392</xdr:colOff>
      <xdr:row>34</xdr:row>
      <xdr:rowOff>2236</xdr:rowOff>
    </xdr:to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172075" y="8505825"/>
          <a:ext cx="516167" cy="51420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28575</xdr:colOff>
      <xdr:row>39</xdr:row>
      <xdr:rowOff>180975</xdr:rowOff>
    </xdr:from>
    <xdr:to>
      <xdr:col>2</xdr:col>
      <xdr:colOff>506642</xdr:colOff>
      <xdr:row>41</xdr:row>
      <xdr:rowOff>66674</xdr:rowOff>
    </xdr:to>
    <xdr:pic>
      <xdr:nvPicPr>
        <xdr:cNvPr id="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9575" y="10648950"/>
          <a:ext cx="478067" cy="476249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38100</xdr:colOff>
      <xdr:row>42</xdr:row>
      <xdr:rowOff>133350</xdr:rowOff>
    </xdr:from>
    <xdr:to>
      <xdr:col>2</xdr:col>
      <xdr:colOff>516167</xdr:colOff>
      <xdr:row>43</xdr:row>
      <xdr:rowOff>190500</xdr:rowOff>
    </xdr:to>
    <xdr:pic>
      <xdr:nvPicPr>
        <xdr:cNvPr id="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9100" y="11610975"/>
          <a:ext cx="478067" cy="476249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1</xdr:col>
      <xdr:colOff>2428874</xdr:colOff>
      <xdr:row>0</xdr:row>
      <xdr:rowOff>542925</xdr:rowOff>
    </xdr:to>
    <xdr:pic>
      <xdr:nvPicPr>
        <xdr:cNvPr id="2" name="Picture 22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1"/>
          <a:ext cx="2752724" cy="5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57151</xdr:colOff>
      <xdr:row>0</xdr:row>
      <xdr:rowOff>0</xdr:rowOff>
    </xdr:from>
    <xdr:to>
      <xdr:col>10</xdr:col>
      <xdr:colOff>933450</xdr:colOff>
      <xdr:row>1</xdr:row>
      <xdr:rowOff>198140</xdr:rowOff>
    </xdr:to>
    <xdr:pic>
      <xdr:nvPicPr>
        <xdr:cNvPr id="3" name="Рисунок 6" descr="печать на прайс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05851" y="0"/>
          <a:ext cx="3057524" cy="7886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5570343</xdr:colOff>
      <xdr:row>20</xdr:row>
      <xdr:rowOff>9525</xdr:rowOff>
    </xdr:from>
    <xdr:to>
      <xdr:col>1</xdr:col>
      <xdr:colOff>6038850</xdr:colOff>
      <xdr:row>21</xdr:row>
      <xdr:rowOff>285751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94193" y="5638800"/>
          <a:ext cx="468507" cy="4667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5534025</xdr:colOff>
      <xdr:row>58</xdr:row>
      <xdr:rowOff>66675</xdr:rowOff>
    </xdr:from>
    <xdr:to>
      <xdr:col>1</xdr:col>
      <xdr:colOff>6002532</xdr:colOff>
      <xdr:row>60</xdr:row>
      <xdr:rowOff>2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57875" y="16516350"/>
          <a:ext cx="468507" cy="46672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16</xdr:row>
      <xdr:rowOff>771525</xdr:rowOff>
    </xdr:from>
    <xdr:to>
      <xdr:col>5</xdr:col>
      <xdr:colOff>9525</xdr:colOff>
      <xdr:row>16</xdr:row>
      <xdr:rowOff>781050</xdr:rowOff>
    </xdr:to>
    <xdr:sp macro="" textlink="">
      <xdr:nvSpPr>
        <xdr:cNvPr id="5230" name="Line 28"/>
        <xdr:cNvSpPr>
          <a:spLocks noChangeShapeType="1"/>
        </xdr:cNvSpPr>
      </xdr:nvSpPr>
      <xdr:spPr bwMode="auto">
        <a:xfrm flipV="1">
          <a:off x="11877675" y="12344400"/>
          <a:ext cx="1971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400050</xdr:colOff>
      <xdr:row>34</xdr:row>
      <xdr:rowOff>76200</xdr:rowOff>
    </xdr:from>
    <xdr:to>
      <xdr:col>3</xdr:col>
      <xdr:colOff>1409700</xdr:colOff>
      <xdr:row>34</xdr:row>
      <xdr:rowOff>438150</xdr:rowOff>
    </xdr:to>
    <xdr:sp macro="" textlink="">
      <xdr:nvSpPr>
        <xdr:cNvPr id="6149" name="Text Box 5"/>
        <xdr:cNvSpPr txBox="1">
          <a:spLocks noChangeArrowheads="1"/>
        </xdr:cNvSpPr>
      </xdr:nvSpPr>
      <xdr:spPr bwMode="auto">
        <a:xfrm>
          <a:off x="11877675" y="208121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1">
            <a:defRPr sz="1000"/>
          </a:pPr>
          <a:r>
            <a:rPr lang="ru-RU" sz="2000" b="0" i="0" strike="noStrike">
              <a:solidFill>
                <a:srgbClr val="000000"/>
              </a:solidFill>
              <a:latin typeface="Arial Cyr"/>
            </a:rPr>
            <a:t>за 1 м.</a:t>
          </a:r>
        </a:p>
      </xdr:txBody>
    </xdr:sp>
    <xdr:clientData/>
  </xdr:twoCellAnchor>
  <xdr:twoCellAnchor>
    <xdr:from>
      <xdr:col>4</xdr:col>
      <xdr:colOff>419100</xdr:colOff>
      <xdr:row>34</xdr:row>
      <xdr:rowOff>76200</xdr:rowOff>
    </xdr:from>
    <xdr:to>
      <xdr:col>4</xdr:col>
      <xdr:colOff>1428750</xdr:colOff>
      <xdr:row>34</xdr:row>
      <xdr:rowOff>438150</xdr:rowOff>
    </xdr:to>
    <xdr:sp macro="" textlink="">
      <xdr:nvSpPr>
        <xdr:cNvPr id="6150" name="Text Box 6"/>
        <xdr:cNvSpPr txBox="1">
          <a:spLocks noChangeArrowheads="1"/>
        </xdr:cNvSpPr>
      </xdr:nvSpPr>
      <xdr:spPr bwMode="auto">
        <a:xfrm>
          <a:off x="12296775" y="20812125"/>
          <a:ext cx="10096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1">
            <a:defRPr sz="1000"/>
          </a:pPr>
          <a:r>
            <a:rPr lang="ru-RU" sz="2000" b="0" i="0" strike="noStrike">
              <a:solidFill>
                <a:srgbClr val="000000"/>
              </a:solidFill>
              <a:latin typeface="Arial Cyr"/>
            </a:rPr>
            <a:t>за 1 м.</a:t>
          </a:r>
        </a:p>
      </xdr:txBody>
    </xdr:sp>
    <xdr:clientData/>
  </xdr:twoCellAnchor>
  <xdr:twoCellAnchor>
    <xdr:from>
      <xdr:col>3</xdr:col>
      <xdr:colOff>38100</xdr:colOff>
      <xdr:row>17</xdr:row>
      <xdr:rowOff>771525</xdr:rowOff>
    </xdr:from>
    <xdr:to>
      <xdr:col>5</xdr:col>
      <xdr:colOff>9525</xdr:colOff>
      <xdr:row>17</xdr:row>
      <xdr:rowOff>781050</xdr:rowOff>
    </xdr:to>
    <xdr:sp macro="" textlink="">
      <xdr:nvSpPr>
        <xdr:cNvPr id="5234" name="Line 28"/>
        <xdr:cNvSpPr>
          <a:spLocks noChangeShapeType="1"/>
        </xdr:cNvSpPr>
      </xdr:nvSpPr>
      <xdr:spPr bwMode="auto">
        <a:xfrm flipV="1">
          <a:off x="11877675" y="13011150"/>
          <a:ext cx="1971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152400</xdr:colOff>
      <xdr:row>0</xdr:row>
      <xdr:rowOff>133350</xdr:rowOff>
    </xdr:from>
    <xdr:to>
      <xdr:col>2</xdr:col>
      <xdr:colOff>4229100</xdr:colOff>
      <xdr:row>1</xdr:row>
      <xdr:rowOff>114300</xdr:rowOff>
    </xdr:to>
    <xdr:pic>
      <xdr:nvPicPr>
        <xdr:cNvPr id="5236" name="Picture 30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133350"/>
          <a:ext cx="51911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1133475</xdr:colOff>
      <xdr:row>0</xdr:row>
      <xdr:rowOff>0</xdr:rowOff>
    </xdr:from>
    <xdr:to>
      <xdr:col>13</xdr:col>
      <xdr:colOff>2181225</xdr:colOff>
      <xdr:row>2</xdr:row>
      <xdr:rowOff>266700</xdr:rowOff>
    </xdr:to>
    <xdr:pic>
      <xdr:nvPicPr>
        <xdr:cNvPr id="5237" name="Рисунок 6" descr="печать на прайс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831300" y="0"/>
          <a:ext cx="7848600" cy="179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9212189</xdr:colOff>
      <xdr:row>10</xdr:row>
      <xdr:rowOff>100396</xdr:rowOff>
    </xdr:from>
    <xdr:to>
      <xdr:col>2</xdr:col>
      <xdr:colOff>10167937</xdr:colOff>
      <xdr:row>10</xdr:row>
      <xdr:rowOff>1047750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07627" y="10006396"/>
          <a:ext cx="955748" cy="947354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10</xdr:row>
      <xdr:rowOff>133350</xdr:rowOff>
    </xdr:from>
    <xdr:to>
      <xdr:col>3</xdr:col>
      <xdr:colOff>2085975</xdr:colOff>
      <xdr:row>10</xdr:row>
      <xdr:rowOff>514350</xdr:rowOff>
    </xdr:to>
    <xdr:sp macro="" textlink="">
      <xdr:nvSpPr>
        <xdr:cNvPr id="7171" name="Text Box 3"/>
        <xdr:cNvSpPr txBox="1">
          <a:spLocks noChangeArrowheads="1"/>
        </xdr:cNvSpPr>
      </xdr:nvSpPr>
      <xdr:spPr bwMode="auto">
        <a:xfrm>
          <a:off x="14277975" y="9334500"/>
          <a:ext cx="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1">
            <a:defRPr sz="1000"/>
          </a:pPr>
          <a:r>
            <a:rPr lang="ru-RU" sz="2000" b="0" i="0" strike="noStrike">
              <a:solidFill>
                <a:srgbClr val="000000"/>
              </a:solidFill>
              <a:latin typeface="Arial Cyr"/>
            </a:rPr>
            <a:t>Комплект (А+В)</a:t>
          </a:r>
        </a:p>
      </xdr:txBody>
    </xdr:sp>
    <xdr:clientData/>
  </xdr:twoCellAnchor>
  <xdr:twoCellAnchor>
    <xdr:from>
      <xdr:col>4</xdr:col>
      <xdr:colOff>190500</xdr:colOff>
      <xdr:row>10</xdr:row>
      <xdr:rowOff>114300</xdr:rowOff>
    </xdr:from>
    <xdr:to>
      <xdr:col>4</xdr:col>
      <xdr:colOff>2219325</xdr:colOff>
      <xdr:row>10</xdr:row>
      <xdr:rowOff>495300</xdr:rowOff>
    </xdr:to>
    <xdr:sp macro="" textlink="">
      <xdr:nvSpPr>
        <xdr:cNvPr id="7172" name="Text Box 4"/>
        <xdr:cNvSpPr txBox="1">
          <a:spLocks noChangeArrowheads="1"/>
        </xdr:cNvSpPr>
      </xdr:nvSpPr>
      <xdr:spPr bwMode="auto">
        <a:xfrm>
          <a:off x="14468475" y="9315450"/>
          <a:ext cx="20288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1">
            <a:defRPr sz="1000"/>
          </a:pPr>
          <a:r>
            <a:rPr lang="ru-RU" sz="2000" b="0" i="0" strike="noStrike">
              <a:solidFill>
                <a:srgbClr val="000000"/>
              </a:solidFill>
              <a:latin typeface="Arial Cyr"/>
            </a:rPr>
            <a:t>Комплект (А+Б)</a:t>
          </a:r>
        </a:p>
      </xdr:txBody>
    </xdr:sp>
    <xdr:clientData/>
  </xdr:twoCellAnchor>
  <xdr:twoCellAnchor>
    <xdr:from>
      <xdr:col>4</xdr:col>
      <xdr:colOff>190500</xdr:colOff>
      <xdr:row>10</xdr:row>
      <xdr:rowOff>114300</xdr:rowOff>
    </xdr:from>
    <xdr:to>
      <xdr:col>4</xdr:col>
      <xdr:colOff>2219325</xdr:colOff>
      <xdr:row>10</xdr:row>
      <xdr:rowOff>495300</xdr:rowOff>
    </xdr:to>
    <xdr:sp macro="" textlink="">
      <xdr:nvSpPr>
        <xdr:cNvPr id="7187" name="Text Box 19"/>
        <xdr:cNvSpPr txBox="1">
          <a:spLocks noChangeArrowheads="1"/>
        </xdr:cNvSpPr>
      </xdr:nvSpPr>
      <xdr:spPr bwMode="auto">
        <a:xfrm>
          <a:off x="14468475" y="9315450"/>
          <a:ext cx="20288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36576" rIns="45720" bIns="0" anchor="t" upright="1"/>
        <a:lstStyle/>
        <a:p>
          <a:pPr algn="ctr" rtl="1">
            <a:defRPr sz="1000"/>
          </a:pPr>
          <a:endParaRPr lang="ru-RU" sz="2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 editAs="oneCell">
    <xdr:from>
      <xdr:col>2</xdr:col>
      <xdr:colOff>95250</xdr:colOff>
      <xdr:row>0</xdr:row>
      <xdr:rowOff>76200</xdr:rowOff>
    </xdr:from>
    <xdr:to>
      <xdr:col>2</xdr:col>
      <xdr:colOff>5276850</xdr:colOff>
      <xdr:row>2</xdr:row>
      <xdr:rowOff>76200</xdr:rowOff>
    </xdr:to>
    <xdr:pic>
      <xdr:nvPicPr>
        <xdr:cNvPr id="6225" name="Picture 23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" y="76200"/>
          <a:ext cx="51816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95250</xdr:colOff>
      <xdr:row>0</xdr:row>
      <xdr:rowOff>76200</xdr:rowOff>
    </xdr:from>
    <xdr:to>
      <xdr:col>2</xdr:col>
      <xdr:colOff>5276850</xdr:colOff>
      <xdr:row>2</xdr:row>
      <xdr:rowOff>76200</xdr:rowOff>
    </xdr:to>
    <xdr:pic>
      <xdr:nvPicPr>
        <xdr:cNvPr id="6226" name="Picture 24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4025" y="76200"/>
          <a:ext cx="51816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361950</xdr:colOff>
      <xdr:row>0</xdr:row>
      <xdr:rowOff>0</xdr:rowOff>
    </xdr:from>
    <xdr:to>
      <xdr:col>13</xdr:col>
      <xdr:colOff>2133600</xdr:colOff>
      <xdr:row>3</xdr:row>
      <xdr:rowOff>276225</xdr:rowOff>
    </xdr:to>
    <xdr:pic>
      <xdr:nvPicPr>
        <xdr:cNvPr id="6227" name="Рисунок 6" descr="печать на прайс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07375" y="0"/>
          <a:ext cx="8658225" cy="196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119064</xdr:colOff>
      <xdr:row>16</xdr:row>
      <xdr:rowOff>381000</xdr:rowOff>
    </xdr:from>
    <xdr:to>
      <xdr:col>2</xdr:col>
      <xdr:colOff>71437</xdr:colOff>
      <xdr:row>18</xdr:row>
      <xdr:rowOff>162069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2939" y="13906500"/>
          <a:ext cx="1214436" cy="120981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60332</xdr:colOff>
      <xdr:row>19</xdr:row>
      <xdr:rowOff>64899</xdr:rowOff>
    </xdr:from>
    <xdr:to>
      <xdr:col>2</xdr:col>
      <xdr:colOff>1</xdr:colOff>
      <xdr:row>20</xdr:row>
      <xdr:rowOff>547688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4207" y="15733524"/>
          <a:ext cx="1201732" cy="1197164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38100</xdr:rowOff>
    </xdr:from>
    <xdr:to>
      <xdr:col>4</xdr:col>
      <xdr:colOff>76200</xdr:colOff>
      <xdr:row>2</xdr:row>
      <xdr:rowOff>142875</xdr:rowOff>
    </xdr:to>
    <xdr:pic>
      <xdr:nvPicPr>
        <xdr:cNvPr id="1091" name="Picture 21" descr="Безымянный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38100"/>
          <a:ext cx="21240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4</xdr:col>
      <xdr:colOff>95250</xdr:colOff>
      <xdr:row>2</xdr:row>
      <xdr:rowOff>142875</xdr:rowOff>
    </xdr:to>
    <xdr:pic>
      <xdr:nvPicPr>
        <xdr:cNvPr id="1094" name="Picture 26" descr="Безымянный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38100"/>
          <a:ext cx="21240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1571625</xdr:colOff>
      <xdr:row>37</xdr:row>
      <xdr:rowOff>171450</xdr:rowOff>
    </xdr:from>
    <xdr:to>
      <xdr:col>6</xdr:col>
      <xdr:colOff>2000250</xdr:colOff>
      <xdr:row>39</xdr:row>
      <xdr:rowOff>38101</xdr:rowOff>
    </xdr:to>
    <xdr:pic>
      <xdr:nvPicPr>
        <xdr:cNvPr id="8" name="Picture 24" descr="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86475" y="10115550"/>
          <a:ext cx="4286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1581150</xdr:colOff>
      <xdr:row>24</xdr:row>
      <xdr:rowOff>180975</xdr:rowOff>
    </xdr:from>
    <xdr:to>
      <xdr:col>6</xdr:col>
      <xdr:colOff>1990725</xdr:colOff>
      <xdr:row>26</xdr:row>
      <xdr:rowOff>9524</xdr:rowOff>
    </xdr:to>
    <xdr:pic>
      <xdr:nvPicPr>
        <xdr:cNvPr id="12" name="Picture 9" descr="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0" y="5457825"/>
          <a:ext cx="4095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819150</xdr:colOff>
      <xdr:row>51</xdr:row>
      <xdr:rowOff>0</xdr:rowOff>
    </xdr:from>
    <xdr:to>
      <xdr:col>6</xdr:col>
      <xdr:colOff>819150</xdr:colOff>
      <xdr:row>54</xdr:row>
      <xdr:rowOff>63500</xdr:rowOff>
    </xdr:to>
    <xdr:pic>
      <xdr:nvPicPr>
        <xdr:cNvPr id="20" name="Picture 9" descr="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34000" y="6302375"/>
          <a:ext cx="409575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809625</xdr:colOff>
      <xdr:row>50</xdr:row>
      <xdr:rowOff>698500</xdr:rowOff>
    </xdr:from>
    <xdr:to>
      <xdr:col>6</xdr:col>
      <xdr:colOff>809625</xdr:colOff>
      <xdr:row>53</xdr:row>
      <xdr:rowOff>34926</xdr:rowOff>
    </xdr:to>
    <xdr:pic>
      <xdr:nvPicPr>
        <xdr:cNvPr id="26" name="Picture 12" descr="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24475" y="1717675"/>
          <a:ext cx="41910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819150</xdr:colOff>
      <xdr:row>24</xdr:row>
      <xdr:rowOff>44450</xdr:rowOff>
    </xdr:from>
    <xdr:to>
      <xdr:col>6</xdr:col>
      <xdr:colOff>819150</xdr:colOff>
      <xdr:row>25</xdr:row>
      <xdr:rowOff>221191</xdr:rowOff>
    </xdr:to>
    <xdr:pic>
      <xdr:nvPicPr>
        <xdr:cNvPr id="27" name="Picture 9" descr="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34000" y="6302375"/>
          <a:ext cx="409575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1560514</xdr:colOff>
      <xdr:row>43</xdr:row>
      <xdr:rowOff>522816</xdr:rowOff>
    </xdr:from>
    <xdr:to>
      <xdr:col>6</xdr:col>
      <xdr:colOff>2028825</xdr:colOff>
      <xdr:row>45</xdr:row>
      <xdr:rowOff>141816</xdr:rowOff>
    </xdr:to>
    <xdr:pic>
      <xdr:nvPicPr>
        <xdr:cNvPr id="29" name="Picture 12" descr="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91264" y="11836399"/>
          <a:ext cx="468311" cy="465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809625</xdr:colOff>
      <xdr:row>7</xdr:row>
      <xdr:rowOff>698500</xdr:rowOff>
    </xdr:from>
    <xdr:to>
      <xdr:col>6</xdr:col>
      <xdr:colOff>809625</xdr:colOff>
      <xdr:row>9</xdr:row>
      <xdr:rowOff>73025</xdr:rowOff>
    </xdr:to>
    <xdr:pic>
      <xdr:nvPicPr>
        <xdr:cNvPr id="33" name="Picture 12" descr="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24475" y="1717675"/>
          <a:ext cx="41910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1562100</xdr:colOff>
      <xdr:row>7</xdr:row>
      <xdr:rowOff>781050</xdr:rowOff>
    </xdr:from>
    <xdr:to>
      <xdr:col>6</xdr:col>
      <xdr:colOff>1981200</xdr:colOff>
      <xdr:row>9</xdr:row>
      <xdr:rowOff>155575</xdr:rowOff>
    </xdr:to>
    <xdr:pic>
      <xdr:nvPicPr>
        <xdr:cNvPr id="34" name="Picture 12" descr="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76950" y="1838325"/>
          <a:ext cx="41910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1504915</xdr:colOff>
      <xdr:row>21</xdr:row>
      <xdr:rowOff>38100</xdr:rowOff>
    </xdr:from>
    <xdr:to>
      <xdr:col>6</xdr:col>
      <xdr:colOff>1982982</xdr:colOff>
      <xdr:row>23</xdr:row>
      <xdr:rowOff>238124</xdr:rowOff>
    </xdr:to>
    <xdr:pic>
      <xdr:nvPicPr>
        <xdr:cNvPr id="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19765" y="5562600"/>
          <a:ext cx="478067" cy="47625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85725</xdr:colOff>
      <xdr:row>39</xdr:row>
      <xdr:rowOff>180975</xdr:rowOff>
    </xdr:from>
    <xdr:to>
      <xdr:col>2</xdr:col>
      <xdr:colOff>554232</xdr:colOff>
      <xdr:row>41</xdr:row>
      <xdr:rowOff>57150</xdr:rowOff>
    </xdr:to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66725" y="10744200"/>
          <a:ext cx="468507" cy="466726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57150</xdr:colOff>
      <xdr:row>42</xdr:row>
      <xdr:rowOff>161925</xdr:rowOff>
    </xdr:from>
    <xdr:to>
      <xdr:col>2</xdr:col>
      <xdr:colOff>525657</xdr:colOff>
      <xdr:row>43</xdr:row>
      <xdr:rowOff>209552</xdr:rowOff>
    </xdr:to>
    <xdr:pic>
      <xdr:nvPicPr>
        <xdr:cNvPr id="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38150" y="11858625"/>
          <a:ext cx="468507" cy="46672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3124199</xdr:colOff>
      <xdr:row>1</xdr:row>
      <xdr:rowOff>19885</xdr:rowOff>
    </xdr:to>
    <xdr:pic>
      <xdr:nvPicPr>
        <xdr:cNvPr id="2" name="Picture 22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3550226" cy="780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332052</xdr:colOff>
      <xdr:row>0</xdr:row>
      <xdr:rowOff>132291</xdr:rowOff>
    </xdr:from>
    <xdr:to>
      <xdr:col>20</xdr:col>
      <xdr:colOff>426508</xdr:colOff>
      <xdr:row>1</xdr:row>
      <xdr:rowOff>168009</xdr:rowOff>
    </xdr:to>
    <xdr:pic>
      <xdr:nvPicPr>
        <xdr:cNvPr id="3" name="Рисунок 6" descr="печать на прайс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636052" y="132291"/>
          <a:ext cx="4192323" cy="818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7613417</xdr:colOff>
      <xdr:row>21</xdr:row>
      <xdr:rowOff>43316</xdr:rowOff>
    </xdr:from>
    <xdr:to>
      <xdr:col>2</xdr:col>
      <xdr:colOff>41470</xdr:colOff>
      <xdr:row>23</xdr:row>
      <xdr:rowOff>148167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36750" y="7853816"/>
          <a:ext cx="619553" cy="59168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7541517</xdr:colOff>
      <xdr:row>71</xdr:row>
      <xdr:rowOff>114084</xdr:rowOff>
    </xdr:from>
    <xdr:to>
      <xdr:col>2</xdr:col>
      <xdr:colOff>14410</xdr:colOff>
      <xdr:row>71</xdr:row>
      <xdr:rowOff>656167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64850" y="29260584"/>
          <a:ext cx="664393" cy="54208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7620000</xdr:colOff>
      <xdr:row>75</xdr:row>
      <xdr:rowOff>34780</xdr:rowOff>
    </xdr:from>
    <xdr:to>
      <xdr:col>2</xdr:col>
      <xdr:colOff>14843</xdr:colOff>
      <xdr:row>75</xdr:row>
      <xdr:rowOff>596826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43333" y="31022780"/>
          <a:ext cx="586343" cy="56204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7501466</xdr:colOff>
      <xdr:row>63</xdr:row>
      <xdr:rowOff>133350</xdr:rowOff>
    </xdr:from>
    <xdr:to>
      <xdr:col>2</xdr:col>
      <xdr:colOff>14817</xdr:colOff>
      <xdr:row>64</xdr:row>
      <xdr:rowOff>171449</xdr:rowOff>
    </xdr:to>
    <xdr:pic>
      <xdr:nvPicPr>
        <xdr:cNvPr id="10" name="Picture 23" descr="new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924799" y="24284517"/>
          <a:ext cx="704851" cy="630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3124199</xdr:colOff>
      <xdr:row>1</xdr:row>
      <xdr:rowOff>19885</xdr:rowOff>
    </xdr:to>
    <xdr:pic>
      <xdr:nvPicPr>
        <xdr:cNvPr id="11" name="Picture 22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3543299" cy="78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332052</xdr:colOff>
      <xdr:row>0</xdr:row>
      <xdr:rowOff>132291</xdr:rowOff>
    </xdr:from>
    <xdr:to>
      <xdr:col>20</xdr:col>
      <xdr:colOff>426508</xdr:colOff>
      <xdr:row>1</xdr:row>
      <xdr:rowOff>168009</xdr:rowOff>
    </xdr:to>
    <xdr:pic>
      <xdr:nvPicPr>
        <xdr:cNvPr id="12" name="Рисунок 6" descr="печать на прайс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658277" y="132291"/>
          <a:ext cx="4190206" cy="816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7613417</xdr:colOff>
      <xdr:row>21</xdr:row>
      <xdr:rowOff>43316</xdr:rowOff>
    </xdr:from>
    <xdr:to>
      <xdr:col>2</xdr:col>
      <xdr:colOff>41470</xdr:colOff>
      <xdr:row>23</xdr:row>
      <xdr:rowOff>148167</xdr:rowOff>
    </xdr:to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32517" y="7844291"/>
          <a:ext cx="619553" cy="60015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7541517</xdr:colOff>
      <xdr:row>71</xdr:row>
      <xdr:rowOff>114084</xdr:rowOff>
    </xdr:from>
    <xdr:to>
      <xdr:col>2</xdr:col>
      <xdr:colOff>14410</xdr:colOff>
      <xdr:row>71</xdr:row>
      <xdr:rowOff>656167</xdr:rowOff>
    </xdr:to>
    <xdr:pic>
      <xdr:nvPicPr>
        <xdr:cNvPr id="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60617" y="29241534"/>
          <a:ext cx="664393" cy="54208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7620000</xdr:colOff>
      <xdr:row>75</xdr:row>
      <xdr:rowOff>34780</xdr:rowOff>
    </xdr:from>
    <xdr:to>
      <xdr:col>2</xdr:col>
      <xdr:colOff>14843</xdr:colOff>
      <xdr:row>75</xdr:row>
      <xdr:rowOff>596826</xdr:rowOff>
    </xdr:to>
    <xdr:pic>
      <xdr:nvPicPr>
        <xdr:cNvPr id="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39100" y="30991030"/>
          <a:ext cx="586343" cy="56204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7501466</xdr:colOff>
      <xdr:row>63</xdr:row>
      <xdr:rowOff>133350</xdr:rowOff>
    </xdr:from>
    <xdr:to>
      <xdr:col>2</xdr:col>
      <xdr:colOff>14817</xdr:colOff>
      <xdr:row>64</xdr:row>
      <xdr:rowOff>171450</xdr:rowOff>
    </xdr:to>
    <xdr:pic>
      <xdr:nvPicPr>
        <xdr:cNvPr id="16" name="Picture 23" descr="new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920566" y="24260175"/>
          <a:ext cx="704851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3124199</xdr:colOff>
      <xdr:row>1</xdr:row>
      <xdr:rowOff>19885</xdr:rowOff>
    </xdr:to>
    <xdr:pic>
      <xdr:nvPicPr>
        <xdr:cNvPr id="17" name="Picture 22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3543299" cy="7818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552450</xdr:colOff>
      <xdr:row>0</xdr:row>
      <xdr:rowOff>132290</xdr:rowOff>
    </xdr:from>
    <xdr:to>
      <xdr:col>20</xdr:col>
      <xdr:colOff>655108</xdr:colOff>
      <xdr:row>2</xdr:row>
      <xdr:rowOff>93705</xdr:rowOff>
    </xdr:to>
    <xdr:pic>
      <xdr:nvPicPr>
        <xdr:cNvPr id="18" name="Рисунок 6" descr="печать на прайс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49850" y="132290"/>
          <a:ext cx="6084358" cy="1180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7613417</xdr:colOff>
      <xdr:row>21</xdr:row>
      <xdr:rowOff>43316</xdr:rowOff>
    </xdr:from>
    <xdr:to>
      <xdr:col>2</xdr:col>
      <xdr:colOff>41470</xdr:colOff>
      <xdr:row>23</xdr:row>
      <xdr:rowOff>148167</xdr:rowOff>
    </xdr:to>
    <xdr:pic>
      <xdr:nvPicPr>
        <xdr:cNvPr id="1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32517" y="7844291"/>
          <a:ext cx="619553" cy="60015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7541517</xdr:colOff>
      <xdr:row>71</xdr:row>
      <xdr:rowOff>114084</xdr:rowOff>
    </xdr:from>
    <xdr:to>
      <xdr:col>2</xdr:col>
      <xdr:colOff>14410</xdr:colOff>
      <xdr:row>71</xdr:row>
      <xdr:rowOff>656167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60617" y="29241534"/>
          <a:ext cx="664393" cy="54208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7620000</xdr:colOff>
      <xdr:row>75</xdr:row>
      <xdr:rowOff>34780</xdr:rowOff>
    </xdr:from>
    <xdr:to>
      <xdr:col>2</xdr:col>
      <xdr:colOff>14843</xdr:colOff>
      <xdr:row>75</xdr:row>
      <xdr:rowOff>596826</xdr:rowOff>
    </xdr:to>
    <xdr:pic>
      <xdr:nvPicPr>
        <xdr:cNvPr id="2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39100" y="30991030"/>
          <a:ext cx="586343" cy="56204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7501466</xdr:colOff>
      <xdr:row>63</xdr:row>
      <xdr:rowOff>133350</xdr:rowOff>
    </xdr:from>
    <xdr:to>
      <xdr:col>2</xdr:col>
      <xdr:colOff>14817</xdr:colOff>
      <xdr:row>64</xdr:row>
      <xdr:rowOff>171450</xdr:rowOff>
    </xdr:to>
    <xdr:pic>
      <xdr:nvPicPr>
        <xdr:cNvPr id="22" name="Picture 23" descr="new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920566" y="24260175"/>
          <a:ext cx="704851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3755571</xdr:colOff>
      <xdr:row>1</xdr:row>
      <xdr:rowOff>19885</xdr:rowOff>
    </xdr:to>
    <xdr:pic>
      <xdr:nvPicPr>
        <xdr:cNvPr id="2" name="Picture 22" descr="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4095750" cy="77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1200150</xdr:colOff>
      <xdr:row>0</xdr:row>
      <xdr:rowOff>133351</xdr:rowOff>
    </xdr:from>
    <xdr:to>
      <xdr:col>20</xdr:col>
      <xdr:colOff>1475783</xdr:colOff>
      <xdr:row>1</xdr:row>
      <xdr:rowOff>190501</xdr:rowOff>
    </xdr:to>
    <xdr:pic>
      <xdr:nvPicPr>
        <xdr:cNvPr id="3" name="Рисунок 6" descr="печать на прайс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8000" y="133351"/>
          <a:ext cx="4333283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7758113</xdr:colOff>
      <xdr:row>21</xdr:row>
      <xdr:rowOff>43316</xdr:rowOff>
    </xdr:from>
    <xdr:to>
      <xdr:col>1</xdr:col>
      <xdr:colOff>7760802</xdr:colOff>
      <xdr:row>23</xdr:row>
      <xdr:rowOff>9980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77213" y="7844291"/>
          <a:ext cx="474857" cy="46196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7731052</xdr:colOff>
      <xdr:row>71</xdr:row>
      <xdr:rowOff>114084</xdr:rowOff>
    </xdr:from>
    <xdr:to>
      <xdr:col>1</xdr:col>
      <xdr:colOff>7732445</xdr:colOff>
      <xdr:row>71</xdr:row>
      <xdr:rowOff>588652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50152" y="29241534"/>
          <a:ext cx="474857" cy="47456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7731486</xdr:colOff>
      <xdr:row>75</xdr:row>
      <xdr:rowOff>34780</xdr:rowOff>
    </xdr:from>
    <xdr:to>
      <xdr:col>1</xdr:col>
      <xdr:colOff>7732879</xdr:colOff>
      <xdr:row>75</xdr:row>
      <xdr:rowOff>489960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50586" y="30991030"/>
          <a:ext cx="474857" cy="45518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7353299</xdr:colOff>
      <xdr:row>63</xdr:row>
      <xdr:rowOff>133350</xdr:rowOff>
    </xdr:from>
    <xdr:to>
      <xdr:col>1</xdr:col>
      <xdr:colOff>7357382</xdr:colOff>
      <xdr:row>65</xdr:row>
      <xdr:rowOff>76200</xdr:rowOff>
    </xdr:to>
    <xdr:pic>
      <xdr:nvPicPr>
        <xdr:cNvPr id="7" name="Picture 23" descr="new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72399" y="24260175"/>
          <a:ext cx="704851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8710612</xdr:colOff>
      <xdr:row>63</xdr:row>
      <xdr:rowOff>76200</xdr:rowOff>
    </xdr:from>
    <xdr:to>
      <xdr:col>1</xdr:col>
      <xdr:colOff>9239250</xdr:colOff>
      <xdr:row>64</xdr:row>
      <xdr:rowOff>209550</xdr:rowOff>
    </xdr:to>
    <xdr:pic>
      <xdr:nvPicPr>
        <xdr:cNvPr id="8" name="Picture 23" descr="new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053512" y="25431750"/>
          <a:ext cx="528638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8610600</xdr:colOff>
      <xdr:row>21</xdr:row>
      <xdr:rowOff>95250</xdr:rowOff>
    </xdr:from>
    <xdr:to>
      <xdr:col>1</xdr:col>
      <xdr:colOff>9180707</xdr:colOff>
      <xdr:row>23</xdr:row>
      <xdr:rowOff>125362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53500" y="8420100"/>
          <a:ext cx="570107" cy="54446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8515350</xdr:colOff>
      <xdr:row>71</xdr:row>
      <xdr:rowOff>114300</xdr:rowOff>
    </xdr:from>
    <xdr:to>
      <xdr:col>1</xdr:col>
      <xdr:colOff>9180707</xdr:colOff>
      <xdr:row>71</xdr:row>
      <xdr:rowOff>749728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858250" y="29013150"/>
          <a:ext cx="665357" cy="635428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-&#1083;&#1080;&#1089;&#1090;%20&#1082;&#1086;&#1088;&#1088;&#1077;&#1082;&#1090;&#1080;&#1088;&#1086;&#1074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-&#1083;&#1080;&#1089;&#1090;%2015.05.14%20&#1073;&#1077;&#1079;%20&#1088;&#1086;&#1079;&#1085;&#1080;&#1094;&#109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пром."/>
      <sheetName val="прайс пром.2"/>
      <sheetName val="прайс быт."/>
      <sheetName val="Прайс пром. mini"/>
      <sheetName val="Прайс пром. розница"/>
      <sheetName val="прайс пром.2 розница"/>
      <sheetName val="прайс быт. розница"/>
    </sheetNames>
    <sheetDataSet>
      <sheetData sheetId="0" refreshError="1">
        <row r="7">
          <cell r="N7">
            <v>5950</v>
          </cell>
        </row>
        <row r="8">
          <cell r="N8">
            <v>6500</v>
          </cell>
        </row>
        <row r="9">
          <cell r="N9">
            <v>7581</v>
          </cell>
        </row>
        <row r="11">
          <cell r="N11">
            <v>9083</v>
          </cell>
        </row>
        <row r="21">
          <cell r="N21">
            <v>1206</v>
          </cell>
        </row>
        <row r="22">
          <cell r="N22">
            <v>2491</v>
          </cell>
        </row>
        <row r="23">
          <cell r="N23">
            <v>4767</v>
          </cell>
        </row>
        <row r="24">
          <cell r="N24">
            <v>1268</v>
          </cell>
        </row>
        <row r="25">
          <cell r="N25">
            <v>2619</v>
          </cell>
        </row>
        <row r="26">
          <cell r="N26">
            <v>5011</v>
          </cell>
        </row>
        <row r="27">
          <cell r="N27">
            <v>2491</v>
          </cell>
        </row>
        <row r="28">
          <cell r="N28">
            <v>4767</v>
          </cell>
        </row>
      </sheetData>
      <sheetData sheetId="1" refreshError="1">
        <row r="7">
          <cell r="N7">
            <v>3622</v>
          </cell>
        </row>
        <row r="8">
          <cell r="N8">
            <v>5842</v>
          </cell>
        </row>
        <row r="11">
          <cell r="N11">
            <v>9450</v>
          </cell>
        </row>
      </sheetData>
      <sheetData sheetId="2" refreshError="1">
        <row r="10">
          <cell r="I10" t="str">
            <v>22 кг</v>
          </cell>
          <cell r="K10">
            <v>2988</v>
          </cell>
        </row>
        <row r="11">
          <cell r="I11" t="str">
            <v>10 кг</v>
          </cell>
          <cell r="K11">
            <v>1463</v>
          </cell>
        </row>
        <row r="12">
          <cell r="I12" t="str">
            <v>3,2 кг</v>
          </cell>
          <cell r="K12">
            <v>492</v>
          </cell>
        </row>
        <row r="13">
          <cell r="I13" t="str">
            <v>1 кг</v>
          </cell>
          <cell r="K13">
            <v>162</v>
          </cell>
        </row>
        <row r="14">
          <cell r="I14" t="str">
            <v>26 кг</v>
          </cell>
        </row>
        <row r="15">
          <cell r="I15" t="str">
            <v>11 кг</v>
          </cell>
        </row>
        <row r="16">
          <cell r="I16" t="str">
            <v>3,5 кг</v>
          </cell>
        </row>
        <row r="17">
          <cell r="I17" t="str">
            <v>1,1 кг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пром."/>
      <sheetName val="прайс пром.2"/>
      <sheetName val="прайс быт."/>
      <sheetName val="Прайс пром. mini"/>
      <sheetName val="Прайс пром. розница"/>
      <sheetName val="прайс пром.2 розница"/>
      <sheetName val="прайс быт. розница"/>
      <sheetName val="Прайс опт полный "/>
      <sheetName val="Прайс опт кратко"/>
      <sheetName val="Прайс+15 "/>
      <sheetName val="Прайс+30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6">
          <cell r="U36">
            <v>2619</v>
          </cell>
        </row>
      </sheetData>
      <sheetData sheetId="8">
        <row r="7">
          <cell r="U7">
            <v>5950</v>
          </cell>
        </row>
        <row r="8">
          <cell r="U8">
            <v>2988</v>
          </cell>
        </row>
        <row r="9">
          <cell r="U9">
            <v>1463</v>
          </cell>
        </row>
        <row r="10">
          <cell r="U10">
            <v>492</v>
          </cell>
        </row>
        <row r="11">
          <cell r="U11">
            <v>162</v>
          </cell>
        </row>
        <row r="12">
          <cell r="U12">
            <v>6500</v>
          </cell>
        </row>
        <row r="13">
          <cell r="U13">
            <v>3617</v>
          </cell>
        </row>
        <row r="14">
          <cell r="U14">
            <v>1615</v>
          </cell>
        </row>
        <row r="15">
          <cell r="U15">
            <v>558</v>
          </cell>
        </row>
        <row r="16">
          <cell r="U16">
            <v>188</v>
          </cell>
        </row>
        <row r="17">
          <cell r="U17">
            <v>7581</v>
          </cell>
        </row>
        <row r="18">
          <cell r="U18">
            <v>3914</v>
          </cell>
        </row>
        <row r="19">
          <cell r="U19">
            <v>1881</v>
          </cell>
        </row>
        <row r="20">
          <cell r="U20">
            <v>651</v>
          </cell>
        </row>
        <row r="21">
          <cell r="U21">
            <v>219</v>
          </cell>
        </row>
        <row r="22">
          <cell r="U22">
            <v>9083</v>
          </cell>
        </row>
        <row r="23">
          <cell r="U23">
            <v>4665</v>
          </cell>
        </row>
        <row r="24">
          <cell r="U24">
            <v>2195</v>
          </cell>
        </row>
        <row r="25">
          <cell r="U25">
            <v>739</v>
          </cell>
        </row>
        <row r="26">
          <cell r="U26">
            <v>271</v>
          </cell>
        </row>
        <row r="27">
          <cell r="U27">
            <v>1475</v>
          </cell>
        </row>
        <row r="29">
          <cell r="U29">
            <v>10236</v>
          </cell>
        </row>
        <row r="30">
          <cell r="U30">
            <v>2696</v>
          </cell>
        </row>
        <row r="31">
          <cell r="U31">
            <v>902</v>
          </cell>
        </row>
        <row r="32">
          <cell r="U32">
            <v>1206</v>
          </cell>
        </row>
        <row r="33">
          <cell r="U33">
            <v>2491</v>
          </cell>
        </row>
        <row r="34">
          <cell r="U34">
            <v>4767</v>
          </cell>
        </row>
        <row r="35">
          <cell r="U35">
            <v>1268</v>
          </cell>
        </row>
        <row r="37">
          <cell r="U37">
            <v>5011</v>
          </cell>
        </row>
        <row r="38">
          <cell r="U38">
            <v>1206</v>
          </cell>
        </row>
        <row r="40">
          <cell r="U40">
            <v>4767</v>
          </cell>
        </row>
        <row r="41">
          <cell r="U41">
            <v>1206</v>
          </cell>
        </row>
        <row r="42">
          <cell r="U42">
            <v>2491</v>
          </cell>
        </row>
        <row r="43">
          <cell r="U43">
            <v>4767</v>
          </cell>
        </row>
        <row r="44">
          <cell r="U44">
            <v>11960</v>
          </cell>
        </row>
        <row r="45">
          <cell r="U45">
            <v>396</v>
          </cell>
        </row>
        <row r="48">
          <cell r="U48">
            <v>3622</v>
          </cell>
        </row>
        <row r="49">
          <cell r="U49">
            <v>1893</v>
          </cell>
        </row>
        <row r="50">
          <cell r="U50">
            <v>279</v>
          </cell>
        </row>
        <row r="51">
          <cell r="U51">
            <v>105</v>
          </cell>
        </row>
        <row r="52">
          <cell r="U52">
            <v>3622</v>
          </cell>
        </row>
        <row r="53">
          <cell r="U53">
            <v>1893</v>
          </cell>
        </row>
        <row r="54">
          <cell r="U54">
            <v>279</v>
          </cell>
        </row>
        <row r="55">
          <cell r="U55">
            <v>105</v>
          </cell>
        </row>
        <row r="56">
          <cell r="U56">
            <v>5842</v>
          </cell>
        </row>
        <row r="57">
          <cell r="U57">
            <v>3126</v>
          </cell>
        </row>
        <row r="58">
          <cell r="U58">
            <v>466</v>
          </cell>
        </row>
        <row r="59">
          <cell r="U59">
            <v>173</v>
          </cell>
        </row>
        <row r="60">
          <cell r="U60">
            <v>5842</v>
          </cell>
        </row>
        <row r="61">
          <cell r="U61">
            <v>3126</v>
          </cell>
        </row>
        <row r="62">
          <cell r="U62">
            <v>466</v>
          </cell>
        </row>
        <row r="63">
          <cell r="U63">
            <v>173</v>
          </cell>
        </row>
        <row r="64">
          <cell r="U64">
            <v>15230</v>
          </cell>
        </row>
        <row r="67">
          <cell r="U67">
            <v>7810</v>
          </cell>
        </row>
        <row r="70">
          <cell r="U70">
            <v>9450</v>
          </cell>
        </row>
        <row r="72">
          <cell r="U72">
            <v>1241</v>
          </cell>
        </row>
        <row r="74">
          <cell r="U74">
            <v>409</v>
          </cell>
        </row>
        <row r="75">
          <cell r="U75">
            <v>126</v>
          </cell>
        </row>
        <row r="76">
          <cell r="U76">
            <v>343</v>
          </cell>
        </row>
        <row r="78">
          <cell r="U78">
            <v>427</v>
          </cell>
        </row>
        <row r="80">
          <cell r="U80">
            <v>144</v>
          </cell>
        </row>
        <row r="81">
          <cell r="U81">
            <v>1185</v>
          </cell>
        </row>
        <row r="82">
          <cell r="U82">
            <v>381</v>
          </cell>
        </row>
        <row r="83">
          <cell r="U83">
            <v>1171</v>
          </cell>
        </row>
        <row r="84">
          <cell r="U84">
            <v>388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  <pageSetUpPr fitToPage="1"/>
  </sheetPr>
  <dimension ref="A1:AA49"/>
  <sheetViews>
    <sheetView view="pageBreakPreview" zoomScale="37" zoomScaleNormal="100" zoomScaleSheetLayoutView="37" workbookViewId="0">
      <pane ySplit="10815" topLeftCell="A66"/>
      <selection activeCell="B11" sqref="B11:C11"/>
      <selection pane="bottomLeft" activeCell="J21" sqref="J21:L22"/>
    </sheetView>
  </sheetViews>
  <sheetFormatPr defaultRowHeight="12.75"/>
  <cols>
    <col min="1" max="1" width="7" customWidth="1"/>
    <col min="2" max="2" width="16.7109375" customWidth="1"/>
    <col min="3" max="3" width="154.42578125" customWidth="1"/>
    <col min="4" max="5" width="25.42578125" customWidth="1"/>
    <col min="6" max="6" width="36.7109375" customWidth="1"/>
    <col min="7" max="7" width="21.7109375" customWidth="1"/>
    <col min="8" max="8" width="22.140625" customWidth="1"/>
    <col min="9" max="9" width="22.28515625" customWidth="1"/>
    <col min="10" max="10" width="22.42578125" customWidth="1"/>
    <col min="11" max="11" width="23" customWidth="1"/>
    <col min="12" max="12" width="24.28515625" customWidth="1"/>
    <col min="13" max="13" width="36.5703125" customWidth="1"/>
    <col min="14" max="14" width="41.42578125" style="68" customWidth="1"/>
    <col min="15" max="15" width="1.42578125" customWidth="1"/>
    <col min="16" max="16" width="9.28515625" hidden="1" customWidth="1"/>
    <col min="17" max="27" width="9.140625" hidden="1" customWidth="1"/>
  </cols>
  <sheetData>
    <row r="1" spans="1:16" ht="82.5" customHeight="1">
      <c r="A1" s="129"/>
      <c r="B1" s="129"/>
      <c r="C1" s="579" t="s">
        <v>93</v>
      </c>
      <c r="D1" s="580"/>
      <c r="E1" s="580"/>
      <c r="F1" s="580"/>
      <c r="G1" s="580"/>
      <c r="H1" s="580"/>
      <c r="I1" s="580"/>
      <c r="J1" s="580"/>
      <c r="K1" s="580"/>
      <c r="L1" s="580"/>
      <c r="M1" s="130"/>
      <c r="N1" s="130"/>
    </row>
    <row r="2" spans="1:16" ht="51" customHeight="1">
      <c r="A2" s="595" t="s">
        <v>23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4"/>
    </row>
    <row r="3" spans="1:16" ht="27" customHeight="1" thickBot="1">
      <c r="A3" s="593" t="s">
        <v>184</v>
      </c>
      <c r="B3" s="593"/>
      <c r="C3" s="593"/>
      <c r="D3" s="594" t="s">
        <v>40</v>
      </c>
      <c r="E3" s="594"/>
      <c r="F3" s="594"/>
      <c r="G3" s="98"/>
      <c r="H3" s="98"/>
      <c r="I3" s="98"/>
      <c r="J3" s="98"/>
      <c r="K3" s="98"/>
      <c r="L3" s="98"/>
      <c r="M3" s="98"/>
      <c r="N3" s="99"/>
      <c r="O3" s="4"/>
    </row>
    <row r="4" spans="1:16" ht="24" customHeight="1" thickBot="1">
      <c r="A4" s="596" t="s">
        <v>25</v>
      </c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8"/>
    </row>
    <row r="5" spans="1:16" s="3" customFormat="1" ht="94.5" customHeight="1" thickBot="1">
      <c r="A5" s="100" t="s">
        <v>0</v>
      </c>
      <c r="B5" s="646" t="s">
        <v>24</v>
      </c>
      <c r="C5" s="647"/>
      <c r="D5" s="101" t="s">
        <v>47</v>
      </c>
      <c r="E5" s="101" t="s">
        <v>48</v>
      </c>
      <c r="F5" s="102" t="s">
        <v>26</v>
      </c>
      <c r="G5" s="599" t="s">
        <v>18</v>
      </c>
      <c r="H5" s="600"/>
      <c r="I5" s="601"/>
      <c r="J5" s="599" t="s">
        <v>19</v>
      </c>
      <c r="K5" s="600"/>
      <c r="L5" s="601"/>
      <c r="M5" s="103" t="s">
        <v>3</v>
      </c>
      <c r="N5" s="104" t="s">
        <v>31</v>
      </c>
      <c r="O5" s="2"/>
    </row>
    <row r="6" spans="1:16" ht="60" customHeight="1" thickBot="1">
      <c r="A6" s="581" t="s">
        <v>27</v>
      </c>
      <c r="B6" s="582"/>
      <c r="C6" s="582"/>
      <c r="D6" s="582"/>
      <c r="E6" s="582"/>
      <c r="F6" s="583"/>
      <c r="G6" s="105" t="s">
        <v>2</v>
      </c>
      <c r="H6" s="106" t="s">
        <v>100</v>
      </c>
      <c r="I6" s="107" t="s">
        <v>166</v>
      </c>
      <c r="J6" s="106" t="s">
        <v>2</v>
      </c>
      <c r="K6" s="108" t="s">
        <v>100</v>
      </c>
      <c r="L6" s="107" t="s">
        <v>120</v>
      </c>
      <c r="M6" s="109"/>
      <c r="N6" s="110"/>
      <c r="O6" s="1"/>
    </row>
    <row r="7" spans="1:16" ht="216" customHeight="1" thickBot="1">
      <c r="A7" s="229">
        <v>1</v>
      </c>
      <c r="B7" s="613" t="s">
        <v>257</v>
      </c>
      <c r="C7" s="614"/>
      <c r="D7" s="230">
        <f>E7/1.18</f>
        <v>109.62</v>
      </c>
      <c r="E7" s="230">
        <v>129.35</v>
      </c>
      <c r="F7" s="329" t="s">
        <v>285</v>
      </c>
      <c r="G7" s="186">
        <v>200</v>
      </c>
      <c r="H7" s="312" t="s">
        <v>266</v>
      </c>
      <c r="I7" s="186" t="s">
        <v>15</v>
      </c>
      <c r="J7" s="175">
        <f>E7*G7/1000</f>
        <v>25.87</v>
      </c>
      <c r="K7" s="177" t="s">
        <v>122</v>
      </c>
      <c r="L7" s="185" t="s">
        <v>15</v>
      </c>
      <c r="M7" s="235" t="s">
        <v>104</v>
      </c>
      <c r="N7" s="168">
        <v>5950</v>
      </c>
      <c r="O7" s="1"/>
    </row>
    <row r="8" spans="1:16" ht="174.75" customHeight="1" thickBot="1">
      <c r="A8" s="187">
        <v>2</v>
      </c>
      <c r="B8" s="611" t="s">
        <v>258</v>
      </c>
      <c r="C8" s="612"/>
      <c r="D8" s="174">
        <f t="shared" ref="D8:D9" si="0">E8/1.18</f>
        <v>110.17</v>
      </c>
      <c r="E8" s="174">
        <v>130</v>
      </c>
      <c r="F8" s="328" t="s">
        <v>286</v>
      </c>
      <c r="G8" s="186">
        <v>100</v>
      </c>
      <c r="H8" s="186" t="s">
        <v>1</v>
      </c>
      <c r="I8" s="186">
        <v>400</v>
      </c>
      <c r="J8" s="175">
        <f>E8*G8/1000</f>
        <v>13</v>
      </c>
      <c r="K8" s="183" t="str">
        <f>CONCATENATE(ROUND(E8*0.28,2)," / ",ROUND(E8*0.18,2))</f>
        <v>36,4 / 23,4</v>
      </c>
      <c r="L8" s="175">
        <f>E8*I8/1000</f>
        <v>52</v>
      </c>
      <c r="M8" s="169" t="s">
        <v>44</v>
      </c>
      <c r="N8" s="168">
        <v>6500</v>
      </c>
      <c r="O8" s="1"/>
    </row>
    <row r="9" spans="1:16" ht="123" customHeight="1" thickBot="1">
      <c r="A9" s="187">
        <v>3</v>
      </c>
      <c r="B9" s="611" t="s">
        <v>175</v>
      </c>
      <c r="C9" s="612"/>
      <c r="D9" s="174">
        <f t="shared" si="0"/>
        <v>128.49</v>
      </c>
      <c r="E9" s="174">
        <v>151.62</v>
      </c>
      <c r="F9" s="328" t="s">
        <v>41</v>
      </c>
      <c r="G9" s="186">
        <v>100</v>
      </c>
      <c r="H9" s="186" t="s">
        <v>1</v>
      </c>
      <c r="I9" s="186">
        <v>400</v>
      </c>
      <c r="J9" s="175">
        <f>E9*G9/1000</f>
        <v>15.16</v>
      </c>
      <c r="K9" s="183" t="str">
        <f>CONCATENATE(ROUND(E9*0.28,2)," / ",ROUND(E9*0.18,2))</f>
        <v>42,45 / 27,29</v>
      </c>
      <c r="L9" s="175">
        <f>E9*I9/1000</f>
        <v>60.65</v>
      </c>
      <c r="M9" s="169" t="s">
        <v>44</v>
      </c>
      <c r="N9" s="172">
        <v>7581</v>
      </c>
      <c r="O9" s="1"/>
    </row>
    <row r="10" spans="1:16" ht="53.25" customHeight="1" thickBot="1">
      <c r="A10" s="141"/>
      <c r="B10" s="589" t="s">
        <v>216</v>
      </c>
      <c r="C10" s="590"/>
      <c r="D10" s="591"/>
      <c r="E10" s="591"/>
      <c r="F10" s="591"/>
      <c r="G10" s="591"/>
      <c r="H10" s="591"/>
      <c r="I10" s="592"/>
      <c r="J10" s="586" t="s">
        <v>102</v>
      </c>
      <c r="K10" s="587"/>
      <c r="L10" s="588"/>
      <c r="M10" s="650"/>
      <c r="N10" s="651"/>
      <c r="O10" s="1"/>
    </row>
    <row r="11" spans="1:16" ht="151.5" customHeight="1" thickBot="1">
      <c r="A11" s="187">
        <v>4</v>
      </c>
      <c r="B11" s="613" t="s">
        <v>263</v>
      </c>
      <c r="C11" s="614"/>
      <c r="D11" s="174">
        <f>E11/1.18</f>
        <v>153.94999999999999</v>
      </c>
      <c r="E11" s="174">
        <v>181.66</v>
      </c>
      <c r="F11" s="328" t="s">
        <v>42</v>
      </c>
      <c r="G11" s="186">
        <v>100</v>
      </c>
      <c r="H11" s="186" t="s">
        <v>1</v>
      </c>
      <c r="I11" s="186">
        <v>400</v>
      </c>
      <c r="J11" s="175">
        <f>E11*G11/1000</f>
        <v>18.170000000000002</v>
      </c>
      <c r="K11" s="176" t="str">
        <f>CONCATENATE(ROUND(E11*0.28,2)," / ",ROUND(E11*0.18,2))</f>
        <v>50,86 / 32,7</v>
      </c>
      <c r="L11" s="175">
        <f>E11*I11/1000</f>
        <v>72.66</v>
      </c>
      <c r="M11" s="111" t="s">
        <v>44</v>
      </c>
      <c r="N11" s="172">
        <v>9083</v>
      </c>
      <c r="O11" s="1"/>
      <c r="P11" s="11"/>
    </row>
    <row r="12" spans="1:16" ht="52.5" customHeight="1">
      <c r="A12" s="615">
        <v>5</v>
      </c>
      <c r="B12" s="602" t="s">
        <v>298</v>
      </c>
      <c r="C12" s="603"/>
      <c r="D12" s="571">
        <f t="shared" ref="D12" si="1">E12/1.18</f>
        <v>50</v>
      </c>
      <c r="E12" s="571">
        <v>59</v>
      </c>
      <c r="F12" s="608" t="s">
        <v>77</v>
      </c>
      <c r="G12" s="606" t="s">
        <v>15</v>
      </c>
      <c r="H12" s="606" t="s">
        <v>80</v>
      </c>
      <c r="I12" s="606" t="s">
        <v>15</v>
      </c>
      <c r="J12" s="584" t="s">
        <v>15</v>
      </c>
      <c r="K12" s="606" t="s">
        <v>149</v>
      </c>
      <c r="L12" s="648" t="s">
        <v>15</v>
      </c>
      <c r="M12" s="617" t="s">
        <v>67</v>
      </c>
      <c r="N12" s="619">
        <v>1475</v>
      </c>
      <c r="O12" s="1"/>
      <c r="P12" s="11"/>
    </row>
    <row r="13" spans="1:16" ht="39" customHeight="1" thickBot="1">
      <c r="A13" s="616"/>
      <c r="B13" s="604"/>
      <c r="C13" s="605"/>
      <c r="D13" s="610"/>
      <c r="E13" s="572"/>
      <c r="F13" s="609"/>
      <c r="G13" s="607"/>
      <c r="H13" s="607"/>
      <c r="I13" s="607"/>
      <c r="J13" s="585"/>
      <c r="K13" s="607"/>
      <c r="L13" s="649"/>
      <c r="M13" s="618"/>
      <c r="N13" s="620"/>
      <c r="O13" s="1"/>
      <c r="P13" s="11"/>
    </row>
    <row r="14" spans="1:16" ht="21.75" customHeight="1" thickBot="1">
      <c r="A14" s="621">
        <v>6</v>
      </c>
      <c r="B14" s="634" t="s">
        <v>267</v>
      </c>
      <c r="C14" s="635"/>
      <c r="D14" s="640" t="s">
        <v>54</v>
      </c>
      <c r="E14" s="641"/>
      <c r="F14" s="631" t="s">
        <v>76</v>
      </c>
      <c r="G14" s="624" t="s">
        <v>15</v>
      </c>
      <c r="H14" s="627" t="s">
        <v>74</v>
      </c>
      <c r="I14" s="624" t="s">
        <v>15</v>
      </c>
      <c r="J14" s="624" t="s">
        <v>15</v>
      </c>
      <c r="K14" s="627" t="str">
        <f>CONCATENATE(ROUND(E15*0.3,2)," / ",ROUND(E15*0.2,2))</f>
        <v>19,79 / 13,19</v>
      </c>
      <c r="L14" s="643" t="s">
        <v>15</v>
      </c>
      <c r="M14" s="642" t="s">
        <v>98</v>
      </c>
      <c r="N14" s="619">
        <v>3166</v>
      </c>
      <c r="O14" s="1"/>
    </row>
    <row r="15" spans="1:16" ht="38.25" thickBot="1">
      <c r="A15" s="622"/>
      <c r="B15" s="636"/>
      <c r="C15" s="637"/>
      <c r="D15" s="144">
        <f>E15/1.18</f>
        <v>55.9</v>
      </c>
      <c r="E15" s="112">
        <v>65.959999999999994</v>
      </c>
      <c r="F15" s="632"/>
      <c r="G15" s="625"/>
      <c r="H15" s="628"/>
      <c r="I15" s="625"/>
      <c r="J15" s="625"/>
      <c r="K15" s="628" t="str">
        <f>CONCATENATE(ROUND(E15*0.104,2)," / ",ROUND(E15*0.63,2))</f>
        <v>6,86 / 41,55</v>
      </c>
      <c r="L15" s="644"/>
      <c r="M15" s="618"/>
      <c r="N15" s="620">
        <f>D15*1.18*50</f>
        <v>3298.1</v>
      </c>
      <c r="O15" s="1"/>
    </row>
    <row r="16" spans="1:16" ht="21" customHeight="1" thickBot="1">
      <c r="A16" s="622"/>
      <c r="B16" s="636"/>
      <c r="C16" s="637"/>
      <c r="D16" s="629" t="s">
        <v>49</v>
      </c>
      <c r="E16" s="630"/>
      <c r="F16" s="632"/>
      <c r="G16" s="625"/>
      <c r="H16" s="113"/>
      <c r="I16" s="625"/>
      <c r="J16" s="625"/>
      <c r="K16" s="114"/>
      <c r="L16" s="644"/>
      <c r="M16" s="115"/>
      <c r="N16" s="116"/>
      <c r="O16" s="1"/>
    </row>
    <row r="17" spans="1:16" ht="54.75" customHeight="1" thickBot="1">
      <c r="A17" s="622"/>
      <c r="B17" s="636"/>
      <c r="C17" s="637"/>
      <c r="D17" s="144">
        <f>E17/1.18</f>
        <v>133.46</v>
      </c>
      <c r="E17" s="117">
        <v>157.47999999999999</v>
      </c>
      <c r="F17" s="632"/>
      <c r="G17" s="625"/>
      <c r="H17" s="652" t="s">
        <v>75</v>
      </c>
      <c r="I17" s="625"/>
      <c r="J17" s="625"/>
      <c r="K17" s="137" t="str">
        <f>CONCATENATE(ROUND(E17*0.103,2)," / ",ROUND(E17*0.069,2))</f>
        <v>16,22 / 10,87</v>
      </c>
      <c r="L17" s="644"/>
      <c r="M17" s="118" t="s">
        <v>45</v>
      </c>
      <c r="N17" s="119">
        <v>10236</v>
      </c>
      <c r="O17" s="1"/>
    </row>
    <row r="18" spans="1:16" ht="56.25" customHeight="1" thickBot="1">
      <c r="A18" s="622"/>
      <c r="B18" s="636"/>
      <c r="C18" s="637"/>
      <c r="D18" s="144">
        <f>E18/1.18</f>
        <v>152.88</v>
      </c>
      <c r="E18" s="117">
        <v>180.4</v>
      </c>
      <c r="F18" s="632"/>
      <c r="G18" s="625"/>
      <c r="H18" s="652"/>
      <c r="I18" s="625"/>
      <c r="J18" s="625"/>
      <c r="K18" s="138" t="str">
        <f>CONCATENATE(ROUND(E18*0.103,2)," / ",ROUND(E18*0.069,2))</f>
        <v>18,58 / 12,45</v>
      </c>
      <c r="L18" s="644"/>
      <c r="M18" s="120" t="s">
        <v>271</v>
      </c>
      <c r="N18" s="119">
        <v>902</v>
      </c>
      <c r="O18" s="1"/>
    </row>
    <row r="19" spans="1:16" ht="56.25" customHeight="1" thickBot="1">
      <c r="A19" s="623"/>
      <c r="B19" s="638"/>
      <c r="C19" s="639"/>
      <c r="D19" s="144">
        <f>E19/1.18</f>
        <v>142.80000000000001</v>
      </c>
      <c r="E19" s="117">
        <v>168.5</v>
      </c>
      <c r="F19" s="633"/>
      <c r="G19" s="626"/>
      <c r="H19" s="653"/>
      <c r="I19" s="626"/>
      <c r="J19" s="626"/>
      <c r="K19" s="136" t="str">
        <f>CONCATENATE(ROUND(E19*0.103,2)," / ",ROUND(E19*0.069,2))</f>
        <v>17,36 / 11,63</v>
      </c>
      <c r="L19" s="645"/>
      <c r="M19" s="121" t="s">
        <v>272</v>
      </c>
      <c r="N19" s="119">
        <v>2696</v>
      </c>
      <c r="O19" s="1"/>
    </row>
    <row r="20" spans="1:16" ht="43.5" customHeight="1" thickBot="1">
      <c r="A20" s="693" t="s">
        <v>28</v>
      </c>
      <c r="B20" s="694"/>
      <c r="C20" s="694"/>
      <c r="D20" s="694"/>
      <c r="E20" s="694"/>
      <c r="F20" s="694"/>
      <c r="G20" s="690" t="s">
        <v>101</v>
      </c>
      <c r="H20" s="691"/>
      <c r="I20" s="691"/>
      <c r="J20" s="691"/>
      <c r="K20" s="691"/>
      <c r="L20" s="692"/>
      <c r="M20" s="122"/>
      <c r="N20" s="122"/>
      <c r="O20" s="689"/>
    </row>
    <row r="21" spans="1:16" ht="60" customHeight="1">
      <c r="A21" s="615">
        <v>7</v>
      </c>
      <c r="B21" s="697" t="s">
        <v>292</v>
      </c>
      <c r="C21" s="698"/>
      <c r="D21" s="571">
        <v>100.52</v>
      </c>
      <c r="E21" s="571">
        <v>118.62</v>
      </c>
      <c r="F21" s="714" t="s">
        <v>6</v>
      </c>
      <c r="G21" s="573" t="s">
        <v>4</v>
      </c>
      <c r="H21" s="574"/>
      <c r="I21" s="575"/>
      <c r="J21" s="573" t="str">
        <f>CONCATENATE(ROUND(E21*0.1,2)," - ",ROUND(E21*0.23,2))</f>
        <v>11,86 - 27,28</v>
      </c>
      <c r="K21" s="574"/>
      <c r="L21" s="575"/>
      <c r="M21" s="315" t="s">
        <v>163</v>
      </c>
      <c r="N21" s="213">
        <v>2491</v>
      </c>
      <c r="O21" s="689"/>
    </row>
    <row r="22" spans="1:16" ht="3.75" customHeight="1" thickBot="1">
      <c r="A22" s="701"/>
      <c r="B22" s="712"/>
      <c r="C22" s="713"/>
      <c r="D22" s="572"/>
      <c r="E22" s="572"/>
      <c r="F22" s="715"/>
      <c r="G22" s="709"/>
      <c r="H22" s="710"/>
      <c r="I22" s="711"/>
      <c r="J22" s="576"/>
      <c r="K22" s="577"/>
      <c r="L22" s="578"/>
      <c r="M22" s="316"/>
      <c r="N22" s="317"/>
      <c r="O22" s="689"/>
    </row>
    <row r="23" spans="1:16" ht="48.75" customHeight="1" thickBot="1">
      <c r="A23" s="616"/>
      <c r="B23" s="699"/>
      <c r="C23" s="700"/>
      <c r="D23" s="144">
        <f>E23/1.18</f>
        <v>93.95</v>
      </c>
      <c r="E23" s="170">
        <v>110.86</v>
      </c>
      <c r="F23" s="716"/>
      <c r="G23" s="576"/>
      <c r="H23" s="577"/>
      <c r="I23" s="578"/>
      <c r="J23" s="577" t="str">
        <f>CONCATENATE(ROUND(E23*0.1,2)," - ",ROUND(E23*0.23,2))</f>
        <v>11,09 - 25,5</v>
      </c>
      <c r="K23" s="577"/>
      <c r="L23" s="578"/>
      <c r="M23" s="125" t="s">
        <v>99</v>
      </c>
      <c r="N23" s="212">
        <v>4767</v>
      </c>
      <c r="O23" s="689"/>
      <c r="P23" s="11"/>
    </row>
    <row r="24" spans="1:16" ht="48.75" customHeight="1">
      <c r="A24" s="615">
        <v>8</v>
      </c>
      <c r="B24" s="702" t="s">
        <v>293</v>
      </c>
      <c r="C24" s="703"/>
      <c r="D24" s="571">
        <v>105.69</v>
      </c>
      <c r="E24" s="571">
        <v>124.71</v>
      </c>
      <c r="F24" s="608" t="s">
        <v>6</v>
      </c>
      <c r="G24" s="573" t="s">
        <v>5</v>
      </c>
      <c r="H24" s="574"/>
      <c r="I24" s="575"/>
      <c r="J24" s="573" t="str">
        <f>CONCATENATE(ROUND(E24*0.15,2)," - ",ROUND(E24*0.35,2))</f>
        <v>18,71 - 43,65</v>
      </c>
      <c r="K24" s="574"/>
      <c r="L24" s="575"/>
      <c r="M24" s="617" t="s">
        <v>163</v>
      </c>
      <c r="N24" s="695">
        <v>2619</v>
      </c>
      <c r="O24" s="264"/>
      <c r="P24" s="11"/>
    </row>
    <row r="25" spans="1:16" ht="8.25" customHeight="1" thickBot="1">
      <c r="A25" s="701"/>
      <c r="B25" s="704"/>
      <c r="C25" s="705"/>
      <c r="D25" s="572"/>
      <c r="E25" s="572"/>
      <c r="F25" s="708"/>
      <c r="G25" s="709"/>
      <c r="H25" s="710"/>
      <c r="I25" s="711"/>
      <c r="J25" s="576"/>
      <c r="K25" s="577"/>
      <c r="L25" s="578"/>
      <c r="M25" s="618"/>
      <c r="N25" s="696"/>
      <c r="O25" s="200"/>
      <c r="P25" s="11"/>
    </row>
    <row r="26" spans="1:16" ht="57" customHeight="1" thickBot="1">
      <c r="A26" s="616"/>
      <c r="B26" s="706"/>
      <c r="C26" s="707"/>
      <c r="D26" s="144">
        <f>E26/1.18</f>
        <v>98.75</v>
      </c>
      <c r="E26" s="170">
        <v>116.53</v>
      </c>
      <c r="F26" s="609"/>
      <c r="G26" s="576"/>
      <c r="H26" s="577"/>
      <c r="I26" s="578"/>
      <c r="J26" s="576" t="str">
        <f>CONCATENATE(ROUND(E26*0.15,2)," - ",ROUND(E26*0.35,2))</f>
        <v>17,48 - 40,79</v>
      </c>
      <c r="K26" s="577"/>
      <c r="L26" s="578"/>
      <c r="M26" s="125" t="s">
        <v>99</v>
      </c>
      <c r="N26" s="168">
        <v>5011</v>
      </c>
      <c r="O26" s="1"/>
    </row>
    <row r="27" spans="1:16" ht="48.75" customHeight="1" thickBot="1">
      <c r="A27" s="615">
        <v>9</v>
      </c>
      <c r="B27" s="697" t="s">
        <v>294</v>
      </c>
      <c r="C27" s="698"/>
      <c r="D27" s="144">
        <v>100.52</v>
      </c>
      <c r="E27" s="201">
        <v>118.62</v>
      </c>
      <c r="F27" s="608" t="s">
        <v>6</v>
      </c>
      <c r="G27" s="573" t="s">
        <v>5</v>
      </c>
      <c r="H27" s="574"/>
      <c r="I27" s="575"/>
      <c r="J27" s="664" t="str">
        <f>CONCATENATE(ROUND(E27*0.15,2)," - ",ROUND(E27*0.35,2))</f>
        <v>17,79 - 41,52</v>
      </c>
      <c r="K27" s="665"/>
      <c r="L27" s="651"/>
      <c r="M27" s="233" t="s">
        <v>163</v>
      </c>
      <c r="N27" s="199">
        <v>2491</v>
      </c>
      <c r="O27" s="1"/>
    </row>
    <row r="28" spans="1:16" ht="48.75" customHeight="1" thickBot="1">
      <c r="A28" s="616"/>
      <c r="B28" s="699"/>
      <c r="C28" s="700"/>
      <c r="D28" s="124">
        <f>E28/1.18</f>
        <v>93.95</v>
      </c>
      <c r="E28" s="170">
        <v>110.86</v>
      </c>
      <c r="F28" s="609"/>
      <c r="G28" s="576"/>
      <c r="H28" s="577"/>
      <c r="I28" s="578"/>
      <c r="J28" s="576" t="str">
        <f>CONCATENATE(ROUND(E28*0.15,2)," - ",ROUND(E28*0.35,2))</f>
        <v>16,63 - 38,8</v>
      </c>
      <c r="K28" s="577"/>
      <c r="L28" s="578"/>
      <c r="M28" s="126" t="s">
        <v>99</v>
      </c>
      <c r="N28" s="168">
        <v>4767</v>
      </c>
      <c r="O28" s="1"/>
    </row>
    <row r="29" spans="1:16" ht="30.75" customHeight="1" thickBot="1">
      <c r="A29" s="615">
        <v>10</v>
      </c>
      <c r="B29" s="262"/>
      <c r="C29" s="263"/>
      <c r="D29" s="571">
        <v>100.52</v>
      </c>
      <c r="E29" s="571">
        <v>118.62</v>
      </c>
      <c r="F29" s="608" t="s">
        <v>6</v>
      </c>
      <c r="G29" s="717" t="s">
        <v>270</v>
      </c>
      <c r="H29" s="718"/>
      <c r="I29" s="718"/>
      <c r="J29" s="718"/>
      <c r="K29" s="718"/>
      <c r="L29" s="719"/>
      <c r="M29" s="617" t="s">
        <v>163</v>
      </c>
      <c r="N29" s="695">
        <v>2491</v>
      </c>
      <c r="O29" s="1"/>
    </row>
    <row r="30" spans="1:16" ht="27" customHeight="1">
      <c r="A30" s="701"/>
      <c r="B30" s="602" t="s">
        <v>295</v>
      </c>
      <c r="C30" s="603"/>
      <c r="D30" s="720"/>
      <c r="E30" s="720"/>
      <c r="F30" s="708"/>
      <c r="G30" s="573" t="s">
        <v>20</v>
      </c>
      <c r="H30" s="574"/>
      <c r="I30" s="575"/>
      <c r="J30" s="573" t="str">
        <f>CONCATENATE(ROUND(E29*2.5,2)," - ",ROUND(E29*4.5,2))</f>
        <v>296,55 - 533,79</v>
      </c>
      <c r="K30" s="574"/>
      <c r="L30" s="575"/>
      <c r="M30" s="642"/>
      <c r="N30" s="721"/>
      <c r="O30" s="1"/>
    </row>
    <row r="31" spans="1:16" ht="30.75" hidden="1" customHeight="1">
      <c r="A31" s="701"/>
      <c r="B31" s="602"/>
      <c r="C31" s="603"/>
      <c r="D31" s="720"/>
      <c r="E31" s="720"/>
      <c r="F31" s="708"/>
      <c r="G31" s="709"/>
      <c r="H31" s="710"/>
      <c r="I31" s="711"/>
      <c r="J31" s="709"/>
      <c r="K31" s="710"/>
      <c r="L31" s="711"/>
      <c r="M31" s="642"/>
      <c r="N31" s="721"/>
      <c r="O31" s="1"/>
    </row>
    <row r="32" spans="1:16" ht="8.25" customHeight="1" thickBot="1">
      <c r="A32" s="701"/>
      <c r="B32" s="602"/>
      <c r="C32" s="603"/>
      <c r="D32" s="572"/>
      <c r="E32" s="572"/>
      <c r="F32" s="708"/>
      <c r="G32" s="709"/>
      <c r="H32" s="710"/>
      <c r="I32" s="711"/>
      <c r="J32" s="576"/>
      <c r="K32" s="577"/>
      <c r="L32" s="578"/>
      <c r="M32" s="618"/>
      <c r="N32" s="696"/>
      <c r="O32" s="1"/>
    </row>
    <row r="33" spans="1:27" ht="57" customHeight="1" thickBot="1">
      <c r="A33" s="616"/>
      <c r="B33" s="604"/>
      <c r="C33" s="605"/>
      <c r="D33" s="124">
        <f>E33/1.18</f>
        <v>93.95</v>
      </c>
      <c r="E33" s="201">
        <v>110.86</v>
      </c>
      <c r="F33" s="609"/>
      <c r="G33" s="576"/>
      <c r="H33" s="577"/>
      <c r="I33" s="578"/>
      <c r="J33" s="665" t="s">
        <v>164</v>
      </c>
      <c r="K33" s="591"/>
      <c r="L33" s="592"/>
      <c r="M33" s="220" t="s">
        <v>99</v>
      </c>
      <c r="N33" s="213">
        <v>4767</v>
      </c>
      <c r="O33" s="1"/>
    </row>
    <row r="34" spans="1:27" ht="39" customHeight="1" thickBot="1">
      <c r="A34" s="581" t="s">
        <v>70</v>
      </c>
      <c r="B34" s="656"/>
      <c r="C34" s="656"/>
      <c r="D34" s="656"/>
      <c r="E34" s="656"/>
      <c r="F34" s="657"/>
      <c r="G34" s="658" t="s">
        <v>71</v>
      </c>
      <c r="H34" s="659"/>
      <c r="I34" s="659"/>
      <c r="J34" s="659"/>
      <c r="K34" s="659"/>
      <c r="L34" s="660"/>
      <c r="M34" s="617" t="s">
        <v>72</v>
      </c>
      <c r="N34" s="695">
        <v>11960</v>
      </c>
      <c r="O34" s="1"/>
    </row>
    <row r="35" spans="1:27" ht="156.75" customHeight="1" thickBot="1">
      <c r="A35" s="123">
        <v>11</v>
      </c>
      <c r="B35" s="613" t="s">
        <v>296</v>
      </c>
      <c r="C35" s="614"/>
      <c r="D35" s="124">
        <v>253.39</v>
      </c>
      <c r="E35" s="124">
        <v>299</v>
      </c>
      <c r="F35" s="97" t="s">
        <v>287</v>
      </c>
      <c r="G35" s="661" t="s">
        <v>73</v>
      </c>
      <c r="H35" s="662"/>
      <c r="I35" s="663"/>
      <c r="J35" s="664">
        <v>508.3</v>
      </c>
      <c r="K35" s="665"/>
      <c r="L35" s="651"/>
      <c r="M35" s="618"/>
      <c r="N35" s="696"/>
      <c r="O35" s="1"/>
    </row>
    <row r="36" spans="1:27" ht="43.5" customHeight="1" thickBot="1">
      <c r="A36" s="581" t="s">
        <v>29</v>
      </c>
      <c r="B36" s="656"/>
      <c r="C36" s="656"/>
      <c r="D36" s="656"/>
      <c r="E36" s="656"/>
      <c r="F36" s="657"/>
      <c r="G36" s="675" t="s">
        <v>8</v>
      </c>
      <c r="H36" s="676"/>
      <c r="I36" s="676"/>
      <c r="J36" s="676"/>
      <c r="K36" s="676"/>
      <c r="L36" s="677"/>
      <c r="M36" s="673" t="s">
        <v>46</v>
      </c>
      <c r="N36" s="684">
        <v>396</v>
      </c>
      <c r="O36" s="1"/>
    </row>
    <row r="37" spans="1:27" ht="67.5" customHeight="1" thickBot="1">
      <c r="A37" s="127">
        <v>12</v>
      </c>
      <c r="B37" s="604" t="s">
        <v>297</v>
      </c>
      <c r="C37" s="667"/>
      <c r="D37" s="128">
        <v>50.85</v>
      </c>
      <c r="E37" s="128">
        <v>60</v>
      </c>
      <c r="F37" s="97" t="s">
        <v>30</v>
      </c>
      <c r="G37" s="668" t="s">
        <v>38</v>
      </c>
      <c r="H37" s="669"/>
      <c r="I37" s="670"/>
      <c r="J37" s="686" t="str">
        <f>CONCATENATE("Стоимость уплотнения одностворчатой двери в 1 слой ",ROUND(N36,2))</f>
        <v>Стоимость уплотнения одностворчатой двери в 1 слой 396</v>
      </c>
      <c r="K37" s="687"/>
      <c r="L37" s="688"/>
      <c r="M37" s="674"/>
      <c r="N37" s="685"/>
      <c r="O37" s="1"/>
    </row>
    <row r="38" spans="1:27" ht="10.5" customHeight="1"/>
    <row r="40" spans="1:27" s="7" customFormat="1" ht="20.25" customHeight="1">
      <c r="A40" s="20" t="s">
        <v>78</v>
      </c>
      <c r="B40" s="20"/>
      <c r="D40" s="31" t="s">
        <v>16</v>
      </c>
      <c r="N40" s="69"/>
      <c r="O40" s="679"/>
      <c r="P40" s="679"/>
      <c r="Q40" s="679"/>
      <c r="R40" s="679"/>
      <c r="S40" s="679"/>
      <c r="T40" s="679"/>
      <c r="U40" s="679"/>
      <c r="V40" s="679"/>
      <c r="W40" s="679"/>
      <c r="X40" s="679"/>
      <c r="Y40" s="679"/>
      <c r="Z40" s="679"/>
      <c r="AA40" s="679"/>
    </row>
    <row r="41" spans="1:27" s="7" customFormat="1" ht="25.5">
      <c r="A41" s="21" t="s">
        <v>92</v>
      </c>
      <c r="B41" s="21"/>
      <c r="C41" s="8"/>
      <c r="D41" s="680" t="s">
        <v>81</v>
      </c>
      <c r="E41" s="680"/>
      <c r="F41" s="680" t="s">
        <v>82</v>
      </c>
      <c r="G41" s="681"/>
      <c r="H41" s="680" t="s">
        <v>83</v>
      </c>
      <c r="I41" s="681"/>
      <c r="J41" s="682"/>
      <c r="K41" s="683"/>
      <c r="L41" s="683"/>
      <c r="M41" s="683"/>
      <c r="N41" s="69"/>
      <c r="O41" s="8"/>
      <c r="P41" s="8"/>
    </row>
    <row r="42" spans="1:27" s="7" customFormat="1" ht="25.5">
      <c r="A42" s="21" t="s">
        <v>79</v>
      </c>
      <c r="B42" s="21"/>
      <c r="C42" s="8"/>
      <c r="D42" s="654">
        <v>0.01</v>
      </c>
      <c r="E42" s="666"/>
      <c r="F42" s="654">
        <v>0.02</v>
      </c>
      <c r="G42" s="655"/>
      <c r="H42" s="654">
        <v>0.03</v>
      </c>
      <c r="I42" s="655"/>
      <c r="J42" s="678"/>
      <c r="K42" s="672"/>
      <c r="L42" s="671"/>
      <c r="M42" s="672"/>
      <c r="N42" s="69"/>
    </row>
    <row r="43" spans="1:27" s="7" customFormat="1" ht="23.25">
      <c r="A43" s="21" t="s">
        <v>204</v>
      </c>
      <c r="B43" s="21"/>
      <c r="C43" s="8"/>
      <c r="D43" s="10"/>
      <c r="E43" s="9"/>
      <c r="F43" s="10"/>
      <c r="G43" s="9"/>
      <c r="H43" s="10"/>
      <c r="I43" s="9"/>
      <c r="J43" s="10"/>
      <c r="K43" s="9"/>
      <c r="L43" s="10"/>
      <c r="M43" s="8"/>
      <c r="N43" s="70"/>
    </row>
    <row r="44" spans="1:27" s="7" customFormat="1" ht="25.5">
      <c r="A44" s="21" t="s">
        <v>205</v>
      </c>
      <c r="B44" s="21"/>
      <c r="C44" s="8"/>
      <c r="D44" s="30" t="s">
        <v>17</v>
      </c>
      <c r="E44" s="9"/>
      <c r="F44" s="10"/>
      <c r="G44" s="9"/>
      <c r="H44" s="10"/>
      <c r="I44" s="9"/>
      <c r="J44" s="10"/>
      <c r="K44" s="9"/>
      <c r="L44" s="10"/>
      <c r="M44" s="8"/>
      <c r="N44" s="70"/>
    </row>
    <row r="45" spans="1:27" s="7" customFormat="1" ht="25.5">
      <c r="A45" s="21" t="s">
        <v>215</v>
      </c>
      <c r="B45" s="21"/>
      <c r="C45" s="8"/>
      <c r="D45" s="30"/>
      <c r="E45" s="13"/>
      <c r="F45" s="10"/>
      <c r="G45" s="9"/>
      <c r="H45" s="10"/>
      <c r="I45" s="9"/>
      <c r="J45" s="10"/>
      <c r="K45" s="9"/>
      <c r="L45" s="10"/>
      <c r="M45" s="8"/>
      <c r="N45" s="70"/>
    </row>
    <row r="46" spans="1:27" ht="22.5" customHeight="1">
      <c r="A46" s="21" t="s">
        <v>206</v>
      </c>
      <c r="B46" s="21"/>
      <c r="C46" s="8"/>
      <c r="D46" s="30"/>
    </row>
    <row r="47" spans="1:27" s="7" customFormat="1" ht="23.25">
      <c r="A47" s="21" t="s">
        <v>207</v>
      </c>
      <c r="B47" s="21"/>
      <c r="C47" s="8"/>
      <c r="D47" s="13"/>
      <c r="E47" s="13"/>
      <c r="F47" s="10"/>
      <c r="G47" s="9"/>
      <c r="H47" s="10"/>
      <c r="I47" s="9"/>
      <c r="J47" s="10"/>
      <c r="K47" s="9"/>
      <c r="L47" s="10"/>
      <c r="M47" s="8"/>
      <c r="N47" s="70"/>
    </row>
    <row r="48" spans="1:27" ht="23.25">
      <c r="A48" s="21" t="s">
        <v>208</v>
      </c>
      <c r="B48" s="21"/>
    </row>
    <row r="49" spans="1:1" ht="23.25">
      <c r="A49" s="140" t="s">
        <v>209</v>
      </c>
    </row>
  </sheetData>
  <sheetProtection selectLockedCells="1"/>
  <mergeCells count="106">
    <mergeCell ref="D24:D25"/>
    <mergeCell ref="E24:E25"/>
    <mergeCell ref="J24:L25"/>
    <mergeCell ref="M24:M25"/>
    <mergeCell ref="N24:N25"/>
    <mergeCell ref="D29:D32"/>
    <mergeCell ref="E29:E32"/>
    <mergeCell ref="M29:M32"/>
    <mergeCell ref="N29:N32"/>
    <mergeCell ref="J30:L32"/>
    <mergeCell ref="F29:F33"/>
    <mergeCell ref="G30:I33"/>
    <mergeCell ref="O20:O23"/>
    <mergeCell ref="J23:L23"/>
    <mergeCell ref="G20:L20"/>
    <mergeCell ref="A20:F20"/>
    <mergeCell ref="N34:N35"/>
    <mergeCell ref="A27:A28"/>
    <mergeCell ref="B27:C28"/>
    <mergeCell ref="F27:F28"/>
    <mergeCell ref="G27:I28"/>
    <mergeCell ref="J33:L33"/>
    <mergeCell ref="J26:L26"/>
    <mergeCell ref="J28:L28"/>
    <mergeCell ref="J27:L27"/>
    <mergeCell ref="A24:A26"/>
    <mergeCell ref="B24:C26"/>
    <mergeCell ref="F24:F26"/>
    <mergeCell ref="G24:I26"/>
    <mergeCell ref="B21:C23"/>
    <mergeCell ref="F21:F23"/>
    <mergeCell ref="G21:I23"/>
    <mergeCell ref="A21:A23"/>
    <mergeCell ref="A29:A33"/>
    <mergeCell ref="G29:L29"/>
    <mergeCell ref="B30:C33"/>
    <mergeCell ref="O40:AA40"/>
    <mergeCell ref="D41:E41"/>
    <mergeCell ref="F41:G41"/>
    <mergeCell ref="H41:I41"/>
    <mergeCell ref="J41:K41"/>
    <mergeCell ref="L41:M41"/>
    <mergeCell ref="N36:N37"/>
    <mergeCell ref="A36:F36"/>
    <mergeCell ref="J37:L37"/>
    <mergeCell ref="H42:I42"/>
    <mergeCell ref="A34:F34"/>
    <mergeCell ref="B35:C35"/>
    <mergeCell ref="G34:L34"/>
    <mergeCell ref="G35:I35"/>
    <mergeCell ref="J35:L35"/>
    <mergeCell ref="D42:E42"/>
    <mergeCell ref="B37:C37"/>
    <mergeCell ref="F42:G42"/>
    <mergeCell ref="G37:I37"/>
    <mergeCell ref="L42:M42"/>
    <mergeCell ref="M36:M37"/>
    <mergeCell ref="G36:L36"/>
    <mergeCell ref="J42:K42"/>
    <mergeCell ref="M34:M35"/>
    <mergeCell ref="N14:N15"/>
    <mergeCell ref="M14:M15"/>
    <mergeCell ref="L14:L19"/>
    <mergeCell ref="K14:K15"/>
    <mergeCell ref="J5:L5"/>
    <mergeCell ref="B5:C5"/>
    <mergeCell ref="L12:L13"/>
    <mergeCell ref="G12:G13"/>
    <mergeCell ref="H12:H13"/>
    <mergeCell ref="I12:I13"/>
    <mergeCell ref="B9:C9"/>
    <mergeCell ref="M10:N10"/>
    <mergeCell ref="H17:H19"/>
    <mergeCell ref="A14:A19"/>
    <mergeCell ref="J14:J19"/>
    <mergeCell ref="I14:I19"/>
    <mergeCell ref="H14:H15"/>
    <mergeCell ref="G14:G19"/>
    <mergeCell ref="D16:E16"/>
    <mergeCell ref="F14:F19"/>
    <mergeCell ref="B14:C19"/>
    <mergeCell ref="D14:E14"/>
    <mergeCell ref="D21:D22"/>
    <mergeCell ref="E21:E22"/>
    <mergeCell ref="J21:L22"/>
    <mergeCell ref="C1:L1"/>
    <mergeCell ref="A6:F6"/>
    <mergeCell ref="J12:J13"/>
    <mergeCell ref="J10:L10"/>
    <mergeCell ref="B10:I10"/>
    <mergeCell ref="A3:C3"/>
    <mergeCell ref="D3:F3"/>
    <mergeCell ref="A2:N2"/>
    <mergeCell ref="A4:N4"/>
    <mergeCell ref="G5:I5"/>
    <mergeCell ref="B12:C13"/>
    <mergeCell ref="K12:K13"/>
    <mergeCell ref="F12:F13"/>
    <mergeCell ref="D12:D13"/>
    <mergeCell ref="B8:C8"/>
    <mergeCell ref="B11:C11"/>
    <mergeCell ref="A12:A13"/>
    <mergeCell ref="E12:E13"/>
    <mergeCell ref="M12:M13"/>
    <mergeCell ref="N12:N13"/>
    <mergeCell ref="B7:C7"/>
  </mergeCells>
  <phoneticPr fontId="2" type="noConversion"/>
  <printOptions horizontalCentered="1"/>
  <pageMargins left="0.23622047244094491" right="0.19685039370078741" top="0.15748031496062992" bottom="0.15748031496062992" header="0.31496062992125984" footer="0.31496062992125984"/>
  <pageSetup paperSize="9" scale="2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83"/>
  <sheetViews>
    <sheetView view="pageBreakPreview" topLeftCell="C3" zoomScale="50" zoomScaleNormal="60" zoomScaleSheetLayoutView="50" workbookViewId="0">
      <selection activeCell="Q13" sqref="Q13"/>
    </sheetView>
  </sheetViews>
  <sheetFormatPr defaultRowHeight="12.75"/>
  <cols>
    <col min="2" max="2" width="146.7109375" customWidth="1"/>
    <col min="3" max="3" width="52.140625" customWidth="1"/>
    <col min="4" max="4" width="0" hidden="1" customWidth="1"/>
    <col min="5" max="5" width="13.7109375" customWidth="1"/>
    <col min="6" max="6" width="0" hidden="1" customWidth="1"/>
    <col min="7" max="7" width="13.7109375" customWidth="1"/>
    <col min="8" max="8" width="4" hidden="1" customWidth="1"/>
    <col min="9" max="9" width="13.42578125" customWidth="1"/>
    <col min="10" max="10" width="0" hidden="1" customWidth="1"/>
    <col min="11" max="11" width="13.140625" customWidth="1"/>
    <col min="12" max="16" width="9.140625" customWidth="1"/>
    <col min="17" max="17" width="10.28515625" customWidth="1"/>
    <col min="18" max="22" width="23.85546875" customWidth="1"/>
    <col min="23" max="23" width="23.85546875" hidden="1" customWidth="1"/>
    <col min="24" max="25" width="23.85546875" customWidth="1"/>
  </cols>
  <sheetData>
    <row r="1" spans="1:23" ht="96" customHeight="1">
      <c r="C1" s="1255" t="s">
        <v>217</v>
      </c>
      <c r="D1" s="1255"/>
      <c r="E1" s="1255"/>
      <c r="F1" s="1255"/>
      <c r="G1" s="1255"/>
      <c r="H1" s="1255"/>
      <c r="I1" s="1255"/>
      <c r="J1" s="1255"/>
      <c r="K1" s="1255"/>
      <c r="L1" s="1255"/>
      <c r="M1" s="1255"/>
      <c r="Q1" s="939"/>
      <c r="R1" s="939"/>
      <c r="S1" s="939"/>
      <c r="T1" s="939"/>
    </row>
    <row r="2" spans="1:23" ht="33.75" customHeight="1">
      <c r="A2" s="938" t="s">
        <v>349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</row>
    <row r="3" spans="1:23" ht="45.75" customHeight="1">
      <c r="A3" s="1119" t="s">
        <v>0</v>
      </c>
      <c r="B3" s="1121" t="s">
        <v>55</v>
      </c>
      <c r="C3" s="1121" t="s">
        <v>335</v>
      </c>
      <c r="D3" s="353"/>
      <c r="E3" s="1135" t="s">
        <v>218</v>
      </c>
      <c r="F3" s="1136"/>
      <c r="G3" s="1136"/>
      <c r="H3" s="1136"/>
      <c r="I3" s="1136"/>
      <c r="J3" s="1136"/>
      <c r="K3" s="1137"/>
      <c r="L3" s="385"/>
      <c r="M3" s="1143" t="s">
        <v>326</v>
      </c>
      <c r="N3" s="1143"/>
      <c r="O3" s="1143"/>
      <c r="P3" s="1143"/>
      <c r="Q3" s="354"/>
      <c r="R3" s="1123" t="s">
        <v>323</v>
      </c>
      <c r="S3" s="1123" t="s">
        <v>288</v>
      </c>
      <c r="T3" s="1123" t="s">
        <v>256</v>
      </c>
      <c r="U3" s="1125" t="s">
        <v>264</v>
      </c>
      <c r="V3" s="1141" t="s">
        <v>251</v>
      </c>
      <c r="W3" s="1141" t="s">
        <v>252</v>
      </c>
    </row>
    <row r="4" spans="1:23" ht="71.25" customHeight="1">
      <c r="A4" s="1120"/>
      <c r="B4" s="1122"/>
      <c r="C4" s="1122"/>
      <c r="D4" s="355"/>
      <c r="E4" s="392" t="s">
        <v>2</v>
      </c>
      <c r="F4" s="392"/>
      <c r="G4" s="392" t="s">
        <v>330</v>
      </c>
      <c r="H4" s="392"/>
      <c r="I4" s="392" t="s">
        <v>331</v>
      </c>
      <c r="J4" s="392"/>
      <c r="K4" s="392" t="s">
        <v>166</v>
      </c>
      <c r="L4" s="392"/>
      <c r="M4" s="356" t="s">
        <v>2</v>
      </c>
      <c r="N4" s="356" t="s">
        <v>327</v>
      </c>
      <c r="O4" s="356" t="s">
        <v>328</v>
      </c>
      <c r="P4" s="356" t="s">
        <v>329</v>
      </c>
      <c r="Q4" s="392"/>
      <c r="R4" s="1124"/>
      <c r="S4" s="1124"/>
      <c r="T4" s="1124"/>
      <c r="U4" s="1126"/>
      <c r="V4" s="1142"/>
      <c r="W4" s="1142"/>
    </row>
    <row r="5" spans="1:23" ht="27.75" customHeight="1">
      <c r="A5" s="1139" t="s">
        <v>25</v>
      </c>
      <c r="B5" s="1139"/>
      <c r="C5" s="1139"/>
      <c r="D5" s="1139"/>
      <c r="E5" s="1139"/>
      <c r="F5" s="1139"/>
      <c r="G5" s="1139"/>
      <c r="H5" s="1139"/>
      <c r="I5" s="1139"/>
      <c r="J5" s="1139"/>
      <c r="K5" s="1139"/>
      <c r="L5" s="1139"/>
      <c r="M5" s="1139"/>
      <c r="N5" s="1139"/>
      <c r="O5" s="1139"/>
      <c r="P5" s="1139"/>
      <c r="Q5" s="1139"/>
      <c r="R5" s="1139"/>
      <c r="S5" s="1139"/>
      <c r="T5" s="1139"/>
      <c r="U5" s="1139"/>
      <c r="V5" s="1139"/>
      <c r="W5" s="1139"/>
    </row>
    <row r="6" spans="1:23" ht="22.5" customHeight="1">
      <c r="A6" s="1140">
        <v>1</v>
      </c>
      <c r="B6" s="1146" t="s">
        <v>355</v>
      </c>
      <c r="C6" s="1132" t="s">
        <v>370</v>
      </c>
      <c r="D6" s="373">
        <v>200</v>
      </c>
      <c r="E6" s="1138">
        <v>200</v>
      </c>
      <c r="F6" s="372">
        <v>200</v>
      </c>
      <c r="G6" s="1138" t="s">
        <v>332</v>
      </c>
      <c r="H6" s="373">
        <v>200</v>
      </c>
      <c r="I6" s="1132">
        <v>200</v>
      </c>
      <c r="J6" s="373"/>
      <c r="K6" s="1138" t="s">
        <v>15</v>
      </c>
      <c r="L6" s="372"/>
      <c r="M6" s="331">
        <f>T6/(1000/E6)</f>
        <v>34.22</v>
      </c>
      <c r="N6" s="331">
        <f>T6/(1000/F6)</f>
        <v>34.22</v>
      </c>
      <c r="O6" s="331">
        <f>T6/(1000/H6)</f>
        <v>34.22</v>
      </c>
      <c r="P6" s="331" t="s">
        <v>15</v>
      </c>
      <c r="Q6" s="371">
        <f>'Прайс опт полный '!Q7</f>
        <v>46</v>
      </c>
      <c r="R6" s="1111" t="s">
        <v>324</v>
      </c>
      <c r="S6" s="371" t="s">
        <v>219</v>
      </c>
      <c r="T6" s="332">
        <f>V6/Q6</f>
        <v>171.09</v>
      </c>
      <c r="U6" s="333">
        <f>'Прайс опт полный '!U7</f>
        <v>6843</v>
      </c>
      <c r="V6" s="416">
        <f>ROUNDUP(U6*1.15,0)</f>
        <v>7870</v>
      </c>
      <c r="W6" s="390">
        <f>ROUNDUP(U6*1.3,0)</f>
        <v>8896</v>
      </c>
    </row>
    <row r="7" spans="1:23" ht="19.5" customHeight="1">
      <c r="A7" s="1140"/>
      <c r="B7" s="1146"/>
      <c r="C7" s="1133"/>
      <c r="D7" s="374">
        <v>200</v>
      </c>
      <c r="E7" s="1138"/>
      <c r="F7" s="372">
        <v>200</v>
      </c>
      <c r="G7" s="1138"/>
      <c r="H7" s="374">
        <v>200</v>
      </c>
      <c r="I7" s="1133"/>
      <c r="J7" s="374"/>
      <c r="K7" s="1138"/>
      <c r="L7" s="372"/>
      <c r="M7" s="331">
        <f>T7/(1000/E6)</f>
        <v>35.93</v>
      </c>
      <c r="N7" s="331">
        <f>T7/(1000/F7)</f>
        <v>35.93</v>
      </c>
      <c r="O7" s="331">
        <f>T7/(1000/H7)</f>
        <v>35.93</v>
      </c>
      <c r="P7" s="331" t="s">
        <v>15</v>
      </c>
      <c r="Q7" s="490">
        <f>'Прайс опт полный '!Q8</f>
        <v>22</v>
      </c>
      <c r="R7" s="1112"/>
      <c r="S7" s="334" t="str">
        <f>'[1]прайс быт.'!I10</f>
        <v>22 кг</v>
      </c>
      <c r="T7" s="332">
        <f>V7/Q7</f>
        <v>179.64</v>
      </c>
      <c r="U7" s="333">
        <f>'Прайс опт полный '!U8</f>
        <v>3436.2</v>
      </c>
      <c r="V7" s="416">
        <f t="shared" ref="V7:V69" si="0">ROUNDUP(U7*1.15,0)</f>
        <v>3952</v>
      </c>
      <c r="W7" s="390">
        <f>ROUNDUP(U7*1.3,0)</f>
        <v>4468</v>
      </c>
    </row>
    <row r="8" spans="1:23" ht="29.25" customHeight="1">
      <c r="A8" s="1140"/>
      <c r="B8" s="1146"/>
      <c r="C8" s="1133"/>
      <c r="D8" s="374"/>
      <c r="E8" s="1138"/>
      <c r="F8" s="372"/>
      <c r="G8" s="1138"/>
      <c r="H8" s="374"/>
      <c r="I8" s="1133"/>
      <c r="J8" s="374"/>
      <c r="K8" s="1138"/>
      <c r="L8" s="373"/>
      <c r="M8" s="1147" t="s">
        <v>15</v>
      </c>
      <c r="N8" s="1147" t="s">
        <v>15</v>
      </c>
      <c r="O8" s="1147" t="s">
        <v>15</v>
      </c>
      <c r="P8" s="1147" t="s">
        <v>15</v>
      </c>
      <c r="Q8" s="490">
        <f>'Прайс опт полный '!Q9</f>
        <v>10</v>
      </c>
      <c r="R8" s="1111" t="s">
        <v>325</v>
      </c>
      <c r="S8" s="334" t="str">
        <f>'[1]прайс быт.'!I11</f>
        <v>10 кг</v>
      </c>
      <c r="T8" s="332">
        <f t="shared" ref="T8:T44" si="1">V8/Q8</f>
        <v>193.5</v>
      </c>
      <c r="U8" s="333">
        <f>'Прайс опт полный '!U9</f>
        <v>1682.45</v>
      </c>
      <c r="V8" s="416">
        <f t="shared" si="0"/>
        <v>1935</v>
      </c>
      <c r="W8" s="390">
        <f>ROUNDUP(U8*1.3,0)</f>
        <v>2188</v>
      </c>
    </row>
    <row r="9" spans="1:23" ht="25.5" customHeight="1">
      <c r="A9" s="1140"/>
      <c r="B9" s="1146"/>
      <c r="C9" s="1133"/>
      <c r="D9" s="374"/>
      <c r="E9" s="1138"/>
      <c r="F9" s="372"/>
      <c r="G9" s="1138"/>
      <c r="H9" s="374"/>
      <c r="I9" s="1133"/>
      <c r="J9" s="374"/>
      <c r="K9" s="1138"/>
      <c r="L9" s="374"/>
      <c r="M9" s="1148"/>
      <c r="N9" s="1148"/>
      <c r="O9" s="1148"/>
      <c r="P9" s="1148"/>
      <c r="Q9" s="490">
        <f>'Прайс опт полный '!Q10</f>
        <v>3.2</v>
      </c>
      <c r="R9" s="1150"/>
      <c r="S9" s="334" t="str">
        <f>'[1]прайс быт.'!I12</f>
        <v>3,2 кг</v>
      </c>
      <c r="T9" s="332">
        <f t="shared" si="1"/>
        <v>203.44</v>
      </c>
      <c r="U9" s="333">
        <f>'Прайс опт полный '!U10</f>
        <v>565.79999999999995</v>
      </c>
      <c r="V9" s="416">
        <f t="shared" si="0"/>
        <v>651</v>
      </c>
      <c r="W9" s="390">
        <f t="shared" ref="W9:W35" si="2">ROUNDUP(U9*1.3,0)</f>
        <v>736</v>
      </c>
    </row>
    <row r="10" spans="1:23" ht="28.5" customHeight="1">
      <c r="A10" s="1140"/>
      <c r="B10" s="1146"/>
      <c r="C10" s="1134"/>
      <c r="D10" s="375"/>
      <c r="E10" s="1138"/>
      <c r="F10" s="372"/>
      <c r="G10" s="1138"/>
      <c r="H10" s="375"/>
      <c r="I10" s="1134"/>
      <c r="J10" s="375"/>
      <c r="K10" s="1138"/>
      <c r="L10" s="375"/>
      <c r="M10" s="1149"/>
      <c r="N10" s="1149"/>
      <c r="O10" s="1149"/>
      <c r="P10" s="1149"/>
      <c r="Q10" s="490">
        <f>'Прайс опт полный '!Q11</f>
        <v>1</v>
      </c>
      <c r="R10" s="1112"/>
      <c r="S10" s="334" t="str">
        <f>'[1]прайс быт.'!I13</f>
        <v>1 кг</v>
      </c>
      <c r="T10" s="332">
        <f t="shared" si="1"/>
        <v>215</v>
      </c>
      <c r="U10" s="333">
        <f>'Прайс опт полный '!U11</f>
        <v>186.3</v>
      </c>
      <c r="V10" s="416">
        <f t="shared" si="0"/>
        <v>215</v>
      </c>
      <c r="W10" s="390">
        <f t="shared" si="2"/>
        <v>243</v>
      </c>
    </row>
    <row r="11" spans="1:23" ht="23.25" customHeight="1">
      <c r="A11" s="1144">
        <v>2</v>
      </c>
      <c r="B11" s="1145" t="s">
        <v>356</v>
      </c>
      <c r="C11" s="1113" t="s">
        <v>333</v>
      </c>
      <c r="D11" s="382">
        <v>100</v>
      </c>
      <c r="E11" s="1130">
        <v>100</v>
      </c>
      <c r="F11" s="386">
        <v>280</v>
      </c>
      <c r="G11" s="1130">
        <v>280</v>
      </c>
      <c r="H11" s="382">
        <v>180</v>
      </c>
      <c r="I11" s="1113">
        <v>180</v>
      </c>
      <c r="J11" s="382">
        <v>400</v>
      </c>
      <c r="K11" s="1130">
        <v>400</v>
      </c>
      <c r="L11" s="386"/>
      <c r="M11" s="335">
        <f>T11/(1000/D11)</f>
        <v>17.190000000000001</v>
      </c>
      <c r="N11" s="335">
        <f>T11/(1000/F11)</f>
        <v>48.14</v>
      </c>
      <c r="O11" s="335">
        <f>T11/(1000/H11)</f>
        <v>30.95</v>
      </c>
      <c r="P11" s="335">
        <f>T11/(1000/J11)</f>
        <v>68.78</v>
      </c>
      <c r="Q11" s="490">
        <f>'Прайс опт полный '!Q12</f>
        <v>50</v>
      </c>
      <c r="R11" s="1105" t="s">
        <v>324</v>
      </c>
      <c r="S11" s="387" t="s">
        <v>221</v>
      </c>
      <c r="T11" s="336">
        <f t="shared" si="1"/>
        <v>171.94</v>
      </c>
      <c r="U11" s="333">
        <f>'Прайс опт полный '!U12</f>
        <v>7475</v>
      </c>
      <c r="V11" s="416">
        <f t="shared" si="0"/>
        <v>8597</v>
      </c>
      <c r="W11" s="337">
        <f t="shared" si="2"/>
        <v>9718</v>
      </c>
    </row>
    <row r="12" spans="1:23" ht="24.75" customHeight="1">
      <c r="A12" s="1144"/>
      <c r="B12" s="1145"/>
      <c r="C12" s="1114"/>
      <c r="D12" s="383">
        <v>100</v>
      </c>
      <c r="E12" s="1130"/>
      <c r="F12" s="386">
        <v>280</v>
      </c>
      <c r="G12" s="1130"/>
      <c r="H12" s="383">
        <v>180</v>
      </c>
      <c r="I12" s="1114"/>
      <c r="J12" s="383">
        <v>400</v>
      </c>
      <c r="K12" s="1130"/>
      <c r="L12" s="386"/>
      <c r="M12" s="335">
        <f>T12/(1000/D12)</f>
        <v>18.399999999999999</v>
      </c>
      <c r="N12" s="335">
        <f>T12/(1000/F12)</f>
        <v>51.52</v>
      </c>
      <c r="O12" s="335">
        <f>T12/(1000/H12)</f>
        <v>33.119999999999997</v>
      </c>
      <c r="P12" s="335">
        <f>T12/(1000/J12)</f>
        <v>73.599999999999994</v>
      </c>
      <c r="Q12" s="490">
        <f>'Прайс опт полный '!Q13</f>
        <v>26</v>
      </c>
      <c r="R12" s="1107"/>
      <c r="S12" s="338" t="str">
        <f>'[1]прайс быт.'!I14</f>
        <v>26 кг</v>
      </c>
      <c r="T12" s="336">
        <f t="shared" si="1"/>
        <v>184</v>
      </c>
      <c r="U12" s="333">
        <f>'Прайс опт полный '!U13</f>
        <v>4159.55</v>
      </c>
      <c r="V12" s="416">
        <f t="shared" si="0"/>
        <v>4784</v>
      </c>
      <c r="W12" s="337">
        <f t="shared" si="2"/>
        <v>5408</v>
      </c>
    </row>
    <row r="13" spans="1:23" ht="25.5" customHeight="1">
      <c r="A13" s="1144"/>
      <c r="B13" s="1145"/>
      <c r="C13" s="1114"/>
      <c r="D13" s="383"/>
      <c r="E13" s="1130"/>
      <c r="F13" s="386"/>
      <c r="G13" s="1130"/>
      <c r="H13" s="383"/>
      <c r="I13" s="1114"/>
      <c r="J13" s="383"/>
      <c r="K13" s="1130"/>
      <c r="L13" s="382"/>
      <c r="M13" s="1108" t="s">
        <v>15</v>
      </c>
      <c r="N13" s="1108" t="s">
        <v>15</v>
      </c>
      <c r="O13" s="1108" t="s">
        <v>15</v>
      </c>
      <c r="P13" s="1108" t="s">
        <v>15</v>
      </c>
      <c r="Q13" s="490">
        <f>'Прайс опт полный '!Q14</f>
        <v>11</v>
      </c>
      <c r="R13" s="1105" t="s">
        <v>325</v>
      </c>
      <c r="S13" s="338" t="str">
        <f>'[1]прайс быт.'!I15</f>
        <v>11 кг</v>
      </c>
      <c r="T13" s="336">
        <f t="shared" si="1"/>
        <v>194.18</v>
      </c>
      <c r="U13" s="333">
        <f>'Прайс опт полный '!U14</f>
        <v>1857.25</v>
      </c>
      <c r="V13" s="416">
        <f t="shared" si="0"/>
        <v>2136</v>
      </c>
      <c r="W13" s="337">
        <f t="shared" si="2"/>
        <v>2415</v>
      </c>
    </row>
    <row r="14" spans="1:23" ht="24.75" customHeight="1">
      <c r="A14" s="1144"/>
      <c r="B14" s="1145"/>
      <c r="C14" s="1114"/>
      <c r="D14" s="383"/>
      <c r="E14" s="1130"/>
      <c r="F14" s="386"/>
      <c r="G14" s="1130"/>
      <c r="H14" s="383"/>
      <c r="I14" s="1114"/>
      <c r="J14" s="383"/>
      <c r="K14" s="1130"/>
      <c r="L14" s="383"/>
      <c r="M14" s="1109"/>
      <c r="N14" s="1109"/>
      <c r="O14" s="1109"/>
      <c r="P14" s="1109"/>
      <c r="Q14" s="490">
        <f>'Прайс опт полный '!Q15</f>
        <v>3.2</v>
      </c>
      <c r="R14" s="1106"/>
      <c r="S14" s="338" t="str">
        <f>'[1]прайс быт.'!I16</f>
        <v>3,5 кг</v>
      </c>
      <c r="T14" s="336">
        <f t="shared" si="1"/>
        <v>230.63</v>
      </c>
      <c r="U14" s="333">
        <f>'Прайс опт полный '!U15</f>
        <v>641.70000000000005</v>
      </c>
      <c r="V14" s="416">
        <f t="shared" si="0"/>
        <v>738</v>
      </c>
      <c r="W14" s="337">
        <f t="shared" si="2"/>
        <v>835</v>
      </c>
    </row>
    <row r="15" spans="1:23" ht="37.5" customHeight="1">
      <c r="A15" s="1144"/>
      <c r="B15" s="1145"/>
      <c r="C15" s="1115"/>
      <c r="D15" s="384"/>
      <c r="E15" s="1130"/>
      <c r="F15" s="386"/>
      <c r="G15" s="1130"/>
      <c r="H15" s="384"/>
      <c r="I15" s="1115"/>
      <c r="J15" s="384"/>
      <c r="K15" s="1130"/>
      <c r="L15" s="384"/>
      <c r="M15" s="1110"/>
      <c r="N15" s="1110"/>
      <c r="O15" s="1110"/>
      <c r="P15" s="1110"/>
      <c r="Q15" s="490">
        <f>'Прайс опт полный '!Q16</f>
        <v>1.1000000000000001</v>
      </c>
      <c r="R15" s="1107"/>
      <c r="S15" s="338" t="str">
        <f>'[1]прайс быт.'!I17</f>
        <v>1,1 кг</v>
      </c>
      <c r="T15" s="336">
        <f t="shared" si="1"/>
        <v>226.36</v>
      </c>
      <c r="U15" s="333">
        <f>'Прайс опт полный '!U16</f>
        <v>216.2</v>
      </c>
      <c r="V15" s="416">
        <f t="shared" si="0"/>
        <v>249</v>
      </c>
      <c r="W15" s="337">
        <f t="shared" si="2"/>
        <v>282</v>
      </c>
    </row>
    <row r="16" spans="1:23" ht="27">
      <c r="A16" s="1140">
        <v>3</v>
      </c>
      <c r="B16" s="1146" t="s">
        <v>357</v>
      </c>
      <c r="C16" s="1132" t="s">
        <v>41</v>
      </c>
      <c r="D16" s="373">
        <v>100</v>
      </c>
      <c r="E16" s="1138">
        <v>100</v>
      </c>
      <c r="F16" s="372">
        <v>280</v>
      </c>
      <c r="G16" s="1138">
        <v>280</v>
      </c>
      <c r="H16" s="373">
        <v>180</v>
      </c>
      <c r="I16" s="1132">
        <v>180</v>
      </c>
      <c r="J16" s="373">
        <v>400</v>
      </c>
      <c r="K16" s="1138">
        <v>400</v>
      </c>
      <c r="L16" s="372"/>
      <c r="M16" s="339">
        <f>T16/(1000/D16)</f>
        <v>20.05</v>
      </c>
      <c r="N16" s="339">
        <f>T16/(1000/F16)</f>
        <v>56.15</v>
      </c>
      <c r="O16" s="339">
        <f>T16/(1000/H16)</f>
        <v>36.090000000000003</v>
      </c>
      <c r="P16" s="339">
        <f>T16/(1000/J16)</f>
        <v>80.209999999999994</v>
      </c>
      <c r="Q16" s="490">
        <f>'Прайс опт полный '!Q17</f>
        <v>50</v>
      </c>
      <c r="R16" s="1127" t="s">
        <v>324</v>
      </c>
      <c r="S16" s="371" t="s">
        <v>221</v>
      </c>
      <c r="T16" s="332">
        <f t="shared" si="1"/>
        <v>200.52</v>
      </c>
      <c r="U16" s="333">
        <f>'Прайс опт полный '!U17</f>
        <v>8718.15</v>
      </c>
      <c r="V16" s="416">
        <f t="shared" si="0"/>
        <v>10026</v>
      </c>
      <c r="W16" s="390">
        <f t="shared" si="2"/>
        <v>11334</v>
      </c>
    </row>
    <row r="17" spans="1:23" ht="27">
      <c r="A17" s="1140"/>
      <c r="B17" s="1146"/>
      <c r="C17" s="1133"/>
      <c r="D17" s="374">
        <v>100</v>
      </c>
      <c r="E17" s="1138"/>
      <c r="F17" s="372">
        <v>280</v>
      </c>
      <c r="G17" s="1138"/>
      <c r="H17" s="374">
        <v>180</v>
      </c>
      <c r="I17" s="1133"/>
      <c r="J17" s="374">
        <v>400</v>
      </c>
      <c r="K17" s="1138"/>
      <c r="L17" s="372"/>
      <c r="M17" s="339">
        <f>T17/(1000/D17)</f>
        <v>21.57</v>
      </c>
      <c r="N17" s="339">
        <f>T17/(1000/F17)</f>
        <v>60.4</v>
      </c>
      <c r="O17" s="339">
        <f>T17/(1000/H17)</f>
        <v>38.83</v>
      </c>
      <c r="P17" s="339">
        <f>T17/(1000/J17)</f>
        <v>86.28</v>
      </c>
      <c r="Q17" s="490">
        <f>'Прайс опт полный '!Q18</f>
        <v>24</v>
      </c>
      <c r="R17" s="1129"/>
      <c r="S17" s="334" t="s">
        <v>159</v>
      </c>
      <c r="T17" s="332">
        <f t="shared" si="1"/>
        <v>215.71</v>
      </c>
      <c r="U17" s="333">
        <f>'Прайс опт полный '!U18</f>
        <v>4501.1000000000004</v>
      </c>
      <c r="V17" s="416">
        <f t="shared" si="0"/>
        <v>5177</v>
      </c>
      <c r="W17" s="390">
        <f t="shared" si="2"/>
        <v>5852</v>
      </c>
    </row>
    <row r="18" spans="1:23" ht="27">
      <c r="A18" s="1140"/>
      <c r="B18" s="1146"/>
      <c r="C18" s="1133"/>
      <c r="D18" s="374"/>
      <c r="E18" s="1138"/>
      <c r="F18" s="372"/>
      <c r="G18" s="1138"/>
      <c r="H18" s="374"/>
      <c r="I18" s="1133"/>
      <c r="J18" s="374"/>
      <c r="K18" s="1138"/>
      <c r="L18" s="373"/>
      <c r="M18" s="1116" t="s">
        <v>15</v>
      </c>
      <c r="N18" s="1116" t="s">
        <v>15</v>
      </c>
      <c r="O18" s="1116" t="s">
        <v>15</v>
      </c>
      <c r="P18" s="1116" t="s">
        <v>15</v>
      </c>
      <c r="Q18" s="490">
        <f>'Прайс опт полный '!Q19</f>
        <v>11</v>
      </c>
      <c r="R18" s="1127" t="s">
        <v>325</v>
      </c>
      <c r="S18" s="334" t="s">
        <v>135</v>
      </c>
      <c r="T18" s="332">
        <f t="shared" si="1"/>
        <v>226.18</v>
      </c>
      <c r="U18" s="333">
        <f>'Прайс опт полный '!U19</f>
        <v>2163.15</v>
      </c>
      <c r="V18" s="416">
        <f t="shared" si="0"/>
        <v>2488</v>
      </c>
      <c r="W18" s="390">
        <f t="shared" si="2"/>
        <v>2813</v>
      </c>
    </row>
    <row r="19" spans="1:23" ht="27">
      <c r="A19" s="1140"/>
      <c r="B19" s="1146"/>
      <c r="C19" s="1133"/>
      <c r="D19" s="374"/>
      <c r="E19" s="1138"/>
      <c r="F19" s="372"/>
      <c r="G19" s="1138"/>
      <c r="H19" s="374"/>
      <c r="I19" s="1133"/>
      <c r="J19" s="374"/>
      <c r="K19" s="1138"/>
      <c r="L19" s="374"/>
      <c r="M19" s="1117"/>
      <c r="N19" s="1117"/>
      <c r="O19" s="1117"/>
      <c r="P19" s="1117"/>
      <c r="Q19" s="490">
        <f>'Прайс опт полный '!Q20</f>
        <v>3.5</v>
      </c>
      <c r="R19" s="1128"/>
      <c r="S19" s="334" t="s">
        <v>170</v>
      </c>
      <c r="T19" s="332">
        <f t="shared" si="1"/>
        <v>246</v>
      </c>
      <c r="U19" s="333">
        <f>'Прайс опт полный '!U20</f>
        <v>748.65</v>
      </c>
      <c r="V19" s="416">
        <f t="shared" si="0"/>
        <v>861</v>
      </c>
      <c r="W19" s="390">
        <f t="shared" si="2"/>
        <v>974</v>
      </c>
    </row>
    <row r="20" spans="1:23" ht="27">
      <c r="A20" s="1140"/>
      <c r="B20" s="1146"/>
      <c r="C20" s="1134"/>
      <c r="D20" s="375"/>
      <c r="E20" s="1138"/>
      <c r="F20" s="372"/>
      <c r="G20" s="1138"/>
      <c r="H20" s="375"/>
      <c r="I20" s="1134"/>
      <c r="J20" s="375"/>
      <c r="K20" s="1138"/>
      <c r="L20" s="375"/>
      <c r="M20" s="1118"/>
      <c r="N20" s="1118"/>
      <c r="O20" s="1118"/>
      <c r="P20" s="1118"/>
      <c r="Q20" s="490">
        <f>'Прайс опт полный '!Q21</f>
        <v>1.1000000000000001</v>
      </c>
      <c r="R20" s="1129"/>
      <c r="S20" s="334" t="s">
        <v>171</v>
      </c>
      <c r="T20" s="332">
        <f t="shared" si="1"/>
        <v>263.64</v>
      </c>
      <c r="U20" s="333">
        <f>'Прайс опт полный '!U21</f>
        <v>251.85</v>
      </c>
      <c r="V20" s="416">
        <f t="shared" si="0"/>
        <v>290</v>
      </c>
      <c r="W20" s="390">
        <f t="shared" si="2"/>
        <v>328</v>
      </c>
    </row>
    <row r="21" spans="1:23" ht="18.75" customHeight="1">
      <c r="A21" s="1144">
        <v>4</v>
      </c>
      <c r="B21" s="1145" t="s">
        <v>358</v>
      </c>
      <c r="C21" s="1113" t="s">
        <v>42</v>
      </c>
      <c r="D21" s="382">
        <v>100</v>
      </c>
      <c r="E21" s="1130">
        <v>100</v>
      </c>
      <c r="F21" s="386">
        <v>280</v>
      </c>
      <c r="G21" s="1130">
        <v>280</v>
      </c>
      <c r="H21" s="382">
        <v>180</v>
      </c>
      <c r="I21" s="1113">
        <v>180</v>
      </c>
      <c r="J21" s="382">
        <v>400</v>
      </c>
      <c r="K21" s="1130">
        <v>400</v>
      </c>
      <c r="L21" s="386"/>
      <c r="M21" s="335">
        <f>T21/(1000/D21)</f>
        <v>24.03</v>
      </c>
      <c r="N21" s="335">
        <f>T21/(1000/F21)</f>
        <v>67.27</v>
      </c>
      <c r="O21" s="335">
        <f>T21/(1000/H21)</f>
        <v>43.25</v>
      </c>
      <c r="P21" s="335">
        <f>T21/(1000/J21)</f>
        <v>96.1</v>
      </c>
      <c r="Q21" s="490">
        <f>'Прайс опт полный '!Q22</f>
        <v>50</v>
      </c>
      <c r="R21" s="1105" t="s">
        <v>324</v>
      </c>
      <c r="S21" s="387" t="s">
        <v>221</v>
      </c>
      <c r="T21" s="336">
        <f t="shared" si="1"/>
        <v>240.26</v>
      </c>
      <c r="U21" s="333">
        <f>'Прайс опт полный '!U22</f>
        <v>10445.450000000001</v>
      </c>
      <c r="V21" s="416">
        <f t="shared" si="0"/>
        <v>12013</v>
      </c>
      <c r="W21" s="337">
        <f t="shared" si="2"/>
        <v>13580</v>
      </c>
    </row>
    <row r="22" spans="1:23" ht="24.75" customHeight="1">
      <c r="A22" s="1144"/>
      <c r="B22" s="1145"/>
      <c r="C22" s="1114"/>
      <c r="D22" s="383">
        <v>100</v>
      </c>
      <c r="E22" s="1130"/>
      <c r="F22" s="386">
        <v>280</v>
      </c>
      <c r="G22" s="1130"/>
      <c r="H22" s="383">
        <v>180</v>
      </c>
      <c r="I22" s="1114"/>
      <c r="J22" s="383">
        <v>400</v>
      </c>
      <c r="K22" s="1130"/>
      <c r="L22" s="386"/>
      <c r="M22" s="335">
        <f>T22/(1000/D22)</f>
        <v>25.71</v>
      </c>
      <c r="N22" s="335">
        <f>T22/(1000/F22)</f>
        <v>71.98</v>
      </c>
      <c r="O22" s="335">
        <f>T22/(1000/H22)</f>
        <v>46.27</v>
      </c>
      <c r="P22" s="335">
        <f>T22/(1000/J22)</f>
        <v>102.83</v>
      </c>
      <c r="Q22" s="490">
        <f>'Прайс опт полный '!Q23</f>
        <v>24</v>
      </c>
      <c r="R22" s="1107"/>
      <c r="S22" s="338" t="s">
        <v>160</v>
      </c>
      <c r="T22" s="336">
        <f>V22/Q22</f>
        <v>257.08</v>
      </c>
      <c r="U22" s="333">
        <f>'Прайс опт полный '!U23</f>
        <v>5364.75</v>
      </c>
      <c r="V22" s="416">
        <f>ROUNDUP(U22*1.15,0)</f>
        <v>6170</v>
      </c>
      <c r="W22" s="337">
        <f t="shared" si="2"/>
        <v>6975</v>
      </c>
    </row>
    <row r="23" spans="1:23" ht="24.75" customHeight="1">
      <c r="A23" s="1144"/>
      <c r="B23" s="1145"/>
      <c r="C23" s="1114"/>
      <c r="D23" s="383"/>
      <c r="E23" s="1130"/>
      <c r="F23" s="386"/>
      <c r="G23" s="1130"/>
      <c r="H23" s="383"/>
      <c r="I23" s="1114"/>
      <c r="J23" s="383"/>
      <c r="K23" s="1130"/>
      <c r="L23" s="382"/>
      <c r="M23" s="1108"/>
      <c r="N23" s="1108"/>
      <c r="O23" s="1108"/>
      <c r="P23" s="1108"/>
      <c r="Q23" s="490">
        <f>'Прайс опт полный '!Q24</f>
        <v>10.5</v>
      </c>
      <c r="R23" s="1105" t="s">
        <v>325</v>
      </c>
      <c r="S23" s="338" t="str">
        <f>'Прайс опт полный '!S24</f>
        <v>10,5 кг</v>
      </c>
      <c r="T23" s="336">
        <f t="shared" si="1"/>
        <v>276.48</v>
      </c>
      <c r="U23" s="333">
        <f>'Прайс опт полный '!U24</f>
        <v>2524.25</v>
      </c>
      <c r="V23" s="416">
        <f>ROUNDUP(U23*1.15,0)</f>
        <v>2903</v>
      </c>
      <c r="W23" s="337">
        <f t="shared" si="2"/>
        <v>3282</v>
      </c>
    </row>
    <row r="24" spans="1:23" ht="21.75" customHeight="1">
      <c r="A24" s="1144"/>
      <c r="B24" s="1145"/>
      <c r="C24" s="1114"/>
      <c r="D24" s="383"/>
      <c r="E24" s="1130"/>
      <c r="F24" s="386"/>
      <c r="G24" s="1130"/>
      <c r="H24" s="383"/>
      <c r="I24" s="1114"/>
      <c r="J24" s="383"/>
      <c r="K24" s="1130"/>
      <c r="L24" s="383"/>
      <c r="M24" s="1109"/>
      <c r="N24" s="1109"/>
      <c r="O24" s="1109"/>
      <c r="P24" s="1109"/>
      <c r="Q24" s="490">
        <f>'Прайс опт полный '!Q25</f>
        <v>3.3</v>
      </c>
      <c r="R24" s="1106"/>
      <c r="S24" s="338" t="str">
        <f>'Прайс опт полный '!S25</f>
        <v>3,3 кг</v>
      </c>
      <c r="T24" s="336">
        <f t="shared" si="1"/>
        <v>296.36</v>
      </c>
      <c r="U24" s="333">
        <f>'Прайс опт полный '!U25</f>
        <v>849.85</v>
      </c>
      <c r="V24" s="416">
        <f t="shared" si="0"/>
        <v>978</v>
      </c>
      <c r="W24" s="337">
        <f t="shared" si="2"/>
        <v>1105</v>
      </c>
    </row>
    <row r="25" spans="1:23" ht="38.25" customHeight="1">
      <c r="A25" s="1144"/>
      <c r="B25" s="1145"/>
      <c r="C25" s="1115"/>
      <c r="D25" s="384"/>
      <c r="E25" s="1130"/>
      <c r="F25" s="386"/>
      <c r="G25" s="1130"/>
      <c r="H25" s="384"/>
      <c r="I25" s="1115"/>
      <c r="J25" s="384"/>
      <c r="K25" s="1130"/>
      <c r="L25" s="384"/>
      <c r="M25" s="1110"/>
      <c r="N25" s="1110"/>
      <c r="O25" s="1110"/>
      <c r="P25" s="1110"/>
      <c r="Q25" s="490">
        <f>'Прайс опт полный '!Q26</f>
        <v>1</v>
      </c>
      <c r="R25" s="1107"/>
      <c r="S25" s="338" t="str">
        <f>'Прайс опт полный '!S26</f>
        <v>1,1 кг</v>
      </c>
      <c r="T25" s="336">
        <f t="shared" si="1"/>
        <v>359</v>
      </c>
      <c r="U25" s="333">
        <f>'Прайс опт полный '!U26</f>
        <v>311.64999999999998</v>
      </c>
      <c r="V25" s="416">
        <f t="shared" si="0"/>
        <v>359</v>
      </c>
      <c r="W25" s="337">
        <f t="shared" si="2"/>
        <v>406</v>
      </c>
    </row>
    <row r="26" spans="1:23" ht="89.25" customHeight="1">
      <c r="A26" s="371">
        <v>5</v>
      </c>
      <c r="B26" s="408" t="s">
        <v>371</v>
      </c>
      <c r="C26" s="372" t="s">
        <v>77</v>
      </c>
      <c r="D26" s="391"/>
      <c r="E26" s="372" t="s">
        <v>15</v>
      </c>
      <c r="F26" s="372"/>
      <c r="G26" s="372">
        <v>100</v>
      </c>
      <c r="H26" s="372"/>
      <c r="I26" s="372">
        <v>50</v>
      </c>
      <c r="J26" s="372"/>
      <c r="K26" s="372" t="s">
        <v>15</v>
      </c>
      <c r="L26" s="372"/>
      <c r="M26" s="372" t="s">
        <v>15</v>
      </c>
      <c r="N26" s="340">
        <v>5.9</v>
      </c>
      <c r="O26" s="340">
        <v>2.95</v>
      </c>
      <c r="P26" s="372" t="s">
        <v>15</v>
      </c>
      <c r="Q26" s="490">
        <f>'Прайс опт полный '!Q27</f>
        <v>25</v>
      </c>
      <c r="R26" s="371" t="s">
        <v>341</v>
      </c>
      <c r="S26" s="371" t="s">
        <v>224</v>
      </c>
      <c r="T26" s="332">
        <f t="shared" si="1"/>
        <v>78.040000000000006</v>
      </c>
      <c r="U26" s="333">
        <f>'Прайс опт полный '!U27</f>
        <v>1696.25</v>
      </c>
      <c r="V26" s="416">
        <f t="shared" si="0"/>
        <v>1951</v>
      </c>
      <c r="W26" s="390">
        <f t="shared" si="2"/>
        <v>2206</v>
      </c>
    </row>
    <row r="27" spans="1:23" ht="40.5" customHeight="1">
      <c r="A27" s="1144">
        <v>6</v>
      </c>
      <c r="B27" s="1145" t="s">
        <v>372</v>
      </c>
      <c r="C27" s="1113" t="s">
        <v>334</v>
      </c>
      <c r="D27" s="382"/>
      <c r="E27" s="1130" t="s">
        <v>15</v>
      </c>
      <c r="F27" s="386">
        <v>300</v>
      </c>
      <c r="G27" s="386">
        <v>300</v>
      </c>
      <c r="H27" s="386">
        <v>200</v>
      </c>
      <c r="I27" s="386">
        <v>200</v>
      </c>
      <c r="J27" s="386"/>
      <c r="K27" s="1130" t="s">
        <v>15</v>
      </c>
      <c r="L27" s="386"/>
      <c r="M27" s="1108" t="s">
        <v>15</v>
      </c>
      <c r="N27" s="335">
        <f>T27/(1000/F27)</f>
        <v>26.18</v>
      </c>
      <c r="O27" s="335">
        <f>T27/(1000/H27)</f>
        <v>17.45</v>
      </c>
      <c r="P27" s="1113" t="s">
        <v>15</v>
      </c>
      <c r="Q27" s="490">
        <f>'Прайс опт полный '!Q28</f>
        <v>48</v>
      </c>
      <c r="R27" s="1105" t="s">
        <v>324</v>
      </c>
      <c r="S27" s="386" t="s">
        <v>226</v>
      </c>
      <c r="T27" s="336">
        <f t="shared" si="1"/>
        <v>87.25</v>
      </c>
      <c r="U27" s="333" t="str">
        <f>'Прайс опт полный '!U28</f>
        <v>3640,9</v>
      </c>
      <c r="V27" s="416">
        <f t="shared" si="0"/>
        <v>4188</v>
      </c>
      <c r="W27" s="337">
        <f t="shared" si="2"/>
        <v>4734</v>
      </c>
    </row>
    <row r="28" spans="1:23" ht="32.25" customHeight="1">
      <c r="A28" s="1144"/>
      <c r="B28" s="1145"/>
      <c r="C28" s="1114"/>
      <c r="D28" s="383"/>
      <c r="E28" s="1130"/>
      <c r="F28" s="386">
        <v>103</v>
      </c>
      <c r="G28" s="1130" t="s">
        <v>377</v>
      </c>
      <c r="H28" s="386">
        <v>69</v>
      </c>
      <c r="I28" s="1113" t="s">
        <v>378</v>
      </c>
      <c r="J28" s="382"/>
      <c r="K28" s="1130"/>
      <c r="L28" s="386"/>
      <c r="M28" s="1109"/>
      <c r="N28" s="335">
        <f>T28/(1000/F28)</f>
        <v>21.45</v>
      </c>
      <c r="O28" s="335">
        <f>T28/(1000/H28)</f>
        <v>14.37</v>
      </c>
      <c r="P28" s="1114"/>
      <c r="Q28" s="490">
        <f>'Прайс опт полный '!Q29</f>
        <v>65</v>
      </c>
      <c r="R28" s="1107"/>
      <c r="S28" s="387" t="s">
        <v>229</v>
      </c>
      <c r="T28" s="336">
        <f>V28/Q28</f>
        <v>208.28</v>
      </c>
      <c r="U28" s="333">
        <f>'Прайс опт полный '!U29</f>
        <v>11771.4</v>
      </c>
      <c r="V28" s="416">
        <f t="shared" si="0"/>
        <v>13538</v>
      </c>
      <c r="W28" s="337">
        <f t="shared" si="2"/>
        <v>15303</v>
      </c>
    </row>
    <row r="29" spans="1:23" ht="32.25" customHeight="1">
      <c r="A29" s="1144"/>
      <c r="B29" s="1145"/>
      <c r="C29" s="1114"/>
      <c r="D29" s="383"/>
      <c r="E29" s="1130"/>
      <c r="F29" s="386">
        <v>103</v>
      </c>
      <c r="G29" s="1130"/>
      <c r="H29" s="386">
        <v>69</v>
      </c>
      <c r="I29" s="1114"/>
      <c r="J29" s="383"/>
      <c r="K29" s="1130"/>
      <c r="L29" s="386"/>
      <c r="M29" s="1109"/>
      <c r="N29" s="335">
        <f>T29/(1000/F29)</f>
        <v>22.96</v>
      </c>
      <c r="O29" s="335">
        <f>T29/(1000/H29)</f>
        <v>15.38</v>
      </c>
      <c r="P29" s="1114"/>
      <c r="Q29" s="490">
        <f>'Прайс опт полный '!Q30</f>
        <v>16</v>
      </c>
      <c r="R29" s="1105" t="s">
        <v>325</v>
      </c>
      <c r="S29" s="387" t="s">
        <v>230</v>
      </c>
      <c r="T29" s="336">
        <f t="shared" si="1"/>
        <v>222.88</v>
      </c>
      <c r="U29" s="333">
        <f>'Прайс опт полный '!U30</f>
        <v>3100.4</v>
      </c>
      <c r="V29" s="416">
        <f t="shared" si="0"/>
        <v>3566</v>
      </c>
      <c r="W29" s="337">
        <f t="shared" si="2"/>
        <v>4031</v>
      </c>
    </row>
    <row r="30" spans="1:23" ht="30.75" customHeight="1">
      <c r="A30" s="1144"/>
      <c r="B30" s="1145"/>
      <c r="C30" s="1115"/>
      <c r="D30" s="384"/>
      <c r="E30" s="1130"/>
      <c r="F30" s="386">
        <v>103</v>
      </c>
      <c r="G30" s="1130"/>
      <c r="H30" s="386">
        <v>69</v>
      </c>
      <c r="I30" s="1115"/>
      <c r="J30" s="384"/>
      <c r="K30" s="1130"/>
      <c r="L30" s="386"/>
      <c r="M30" s="1110"/>
      <c r="N30" s="335">
        <f>T30/(1000/F30)</f>
        <v>24.58</v>
      </c>
      <c r="O30" s="335">
        <f>T30/(1000/H30)</f>
        <v>16.46</v>
      </c>
      <c r="P30" s="1115"/>
      <c r="Q30" s="490">
        <f>'Прайс опт полный '!Q31</f>
        <v>5</v>
      </c>
      <c r="R30" s="1107"/>
      <c r="S30" s="387" t="s">
        <v>231</v>
      </c>
      <c r="T30" s="336">
        <f t="shared" si="1"/>
        <v>238.6</v>
      </c>
      <c r="U30" s="333">
        <f>'Прайс опт полный '!U31</f>
        <v>1037.3</v>
      </c>
      <c r="V30" s="416">
        <f t="shared" si="0"/>
        <v>1193</v>
      </c>
      <c r="W30" s="337">
        <f t="shared" si="2"/>
        <v>1349</v>
      </c>
    </row>
    <row r="31" spans="1:23" ht="25.5" customHeight="1">
      <c r="A31" s="1140">
        <v>7</v>
      </c>
      <c r="B31" s="1146" t="s">
        <v>373</v>
      </c>
      <c r="C31" s="1132" t="s">
        <v>6</v>
      </c>
      <c r="D31" s="363"/>
      <c r="E31" s="1151" t="s">
        <v>232</v>
      </c>
      <c r="F31" s="1152"/>
      <c r="G31" s="1152"/>
      <c r="H31" s="1152"/>
      <c r="I31" s="1152"/>
      <c r="J31" s="1152"/>
      <c r="K31" s="1153"/>
      <c r="L31" s="364"/>
      <c r="M31" s="1102" t="str">
        <f>CONCATENATE(ROUND(T31*0.1,2),"-",ROUND(T31*0.23,2))</f>
        <v>16,79-38,61</v>
      </c>
      <c r="N31" s="1103"/>
      <c r="O31" s="1103"/>
      <c r="P31" s="1104"/>
      <c r="Q31" s="490">
        <f>'Прайс опт полный '!Q32</f>
        <v>9.5</v>
      </c>
      <c r="R31" s="371" t="s">
        <v>325</v>
      </c>
      <c r="S31" s="371" t="s">
        <v>233</v>
      </c>
      <c r="T31" s="332">
        <f t="shared" si="1"/>
        <v>167.89</v>
      </c>
      <c r="U31" s="333">
        <f>'Прайс опт полный '!U32</f>
        <v>1386.9</v>
      </c>
      <c r="V31" s="416">
        <f t="shared" si="0"/>
        <v>1595</v>
      </c>
      <c r="W31" s="390">
        <f t="shared" si="2"/>
        <v>1803</v>
      </c>
    </row>
    <row r="32" spans="1:23" ht="27.75" customHeight="1">
      <c r="A32" s="1140"/>
      <c r="B32" s="1146"/>
      <c r="C32" s="1133"/>
      <c r="D32" s="376"/>
      <c r="E32" s="1154"/>
      <c r="F32" s="1155"/>
      <c r="G32" s="1155"/>
      <c r="H32" s="1155"/>
      <c r="I32" s="1155"/>
      <c r="J32" s="1155"/>
      <c r="K32" s="1156"/>
      <c r="L32" s="377"/>
      <c r="M32" s="1102" t="str">
        <f>CONCATENATE(ROUND(T32*0.1,2),"-",ROUND(T32*0.23,2))</f>
        <v>15,69-36,09</v>
      </c>
      <c r="N32" s="1103"/>
      <c r="O32" s="1103"/>
      <c r="P32" s="1104"/>
      <c r="Q32" s="490">
        <f>'Прайс опт полный '!Q33</f>
        <v>21</v>
      </c>
      <c r="R32" s="1111" t="s">
        <v>324</v>
      </c>
      <c r="S32" s="371" t="s">
        <v>234</v>
      </c>
      <c r="T32" s="332">
        <f t="shared" si="1"/>
        <v>156.9</v>
      </c>
      <c r="U32" s="333">
        <f>'Прайс опт полный '!U33</f>
        <v>2864.65</v>
      </c>
      <c r="V32" s="416">
        <f t="shared" si="0"/>
        <v>3295</v>
      </c>
      <c r="W32" s="390">
        <f t="shared" si="2"/>
        <v>3725</v>
      </c>
    </row>
    <row r="33" spans="1:24" ht="27.75" customHeight="1">
      <c r="A33" s="1140"/>
      <c r="B33" s="1146"/>
      <c r="C33" s="1134"/>
      <c r="D33" s="365"/>
      <c r="E33" s="1157"/>
      <c r="F33" s="1158"/>
      <c r="G33" s="1158"/>
      <c r="H33" s="1158"/>
      <c r="I33" s="1158"/>
      <c r="J33" s="1158"/>
      <c r="K33" s="1159"/>
      <c r="L33" s="366"/>
      <c r="M33" s="1102" t="str">
        <f>CONCATENATE(ROUND(T33*0.1,2),"-",ROUND(T33*0.23,2))</f>
        <v>14,66-33,72</v>
      </c>
      <c r="N33" s="1103"/>
      <c r="O33" s="1103"/>
      <c r="P33" s="1104"/>
      <c r="Q33" s="490">
        <f>'Прайс опт полный '!Q34</f>
        <v>43</v>
      </c>
      <c r="R33" s="1112"/>
      <c r="S33" s="371" t="s">
        <v>235</v>
      </c>
      <c r="T33" s="332">
        <f t="shared" si="1"/>
        <v>146.63</v>
      </c>
      <c r="U33" s="333">
        <f>'Прайс опт полный '!U34</f>
        <v>5482.05</v>
      </c>
      <c r="V33" s="416">
        <f t="shared" si="0"/>
        <v>6305</v>
      </c>
      <c r="W33" s="390">
        <f t="shared" si="2"/>
        <v>7127</v>
      </c>
    </row>
    <row r="34" spans="1:24" ht="26.25" customHeight="1">
      <c r="A34" s="1144">
        <v>8</v>
      </c>
      <c r="B34" s="1145" t="s">
        <v>374</v>
      </c>
      <c r="C34" s="1113" t="s">
        <v>6</v>
      </c>
      <c r="D34" s="367"/>
      <c r="E34" s="1160" t="s">
        <v>193</v>
      </c>
      <c r="F34" s="1161"/>
      <c r="G34" s="1161"/>
      <c r="H34" s="1161"/>
      <c r="I34" s="1161"/>
      <c r="J34" s="1161"/>
      <c r="K34" s="1162"/>
      <c r="L34" s="368"/>
      <c r="M34" s="1088" t="str">
        <f t="shared" ref="M34:M39" si="3">CONCATENATE(ROUND(T34*0.15,2),"-",ROUND(T34*0.35,2))</f>
        <v>26,48-61,79</v>
      </c>
      <c r="N34" s="1101"/>
      <c r="O34" s="1101"/>
      <c r="P34" s="1091"/>
      <c r="Q34" s="490">
        <f>'Прайс опт полный '!Q35</f>
        <v>9.5</v>
      </c>
      <c r="R34" s="409" t="s">
        <v>325</v>
      </c>
      <c r="S34" s="387" t="s">
        <v>233</v>
      </c>
      <c r="T34" s="336">
        <f t="shared" si="1"/>
        <v>176.53</v>
      </c>
      <c r="U34" s="333">
        <f>'Прайс опт полный '!U35</f>
        <v>1458.2</v>
      </c>
      <c r="V34" s="416">
        <f t="shared" si="0"/>
        <v>1677</v>
      </c>
      <c r="W34" s="337">
        <f t="shared" si="2"/>
        <v>1896</v>
      </c>
    </row>
    <row r="35" spans="1:24" ht="28.5" customHeight="1">
      <c r="A35" s="1144"/>
      <c r="B35" s="1145"/>
      <c r="C35" s="1114"/>
      <c r="D35" s="378"/>
      <c r="E35" s="1163"/>
      <c r="F35" s="1164"/>
      <c r="G35" s="1164"/>
      <c r="H35" s="1164"/>
      <c r="I35" s="1164"/>
      <c r="J35" s="1164"/>
      <c r="K35" s="1165"/>
      <c r="L35" s="379"/>
      <c r="M35" s="1088" t="str">
        <f t="shared" si="3"/>
        <v>24,74-57,73</v>
      </c>
      <c r="N35" s="1101"/>
      <c r="O35" s="1101"/>
      <c r="P35" s="1091"/>
      <c r="Q35" s="490">
        <f>'Прайс опт полный '!Q36</f>
        <v>21</v>
      </c>
      <c r="R35" s="1105" t="s">
        <v>324</v>
      </c>
      <c r="S35" s="387" t="s">
        <v>234</v>
      </c>
      <c r="T35" s="336">
        <f t="shared" si="1"/>
        <v>164.95</v>
      </c>
      <c r="U35" s="333">
        <f>'Прайс опт полный '!U36</f>
        <v>3011.85</v>
      </c>
      <c r="V35" s="416">
        <f t="shared" si="0"/>
        <v>3464</v>
      </c>
      <c r="W35" s="337">
        <f t="shared" si="2"/>
        <v>3916</v>
      </c>
    </row>
    <row r="36" spans="1:24" ht="27" customHeight="1">
      <c r="A36" s="1144"/>
      <c r="B36" s="1145"/>
      <c r="C36" s="1115"/>
      <c r="D36" s="369"/>
      <c r="E36" s="1166"/>
      <c r="F36" s="1167"/>
      <c r="G36" s="1167"/>
      <c r="H36" s="1167"/>
      <c r="I36" s="1167"/>
      <c r="J36" s="1167"/>
      <c r="K36" s="1168"/>
      <c r="L36" s="370"/>
      <c r="M36" s="1088" t="str">
        <f t="shared" si="3"/>
        <v>23,12-53,95</v>
      </c>
      <c r="N36" s="1101"/>
      <c r="O36" s="1101"/>
      <c r="P36" s="1091"/>
      <c r="Q36" s="490">
        <f>'Прайс опт полный '!Q37</f>
        <v>43</v>
      </c>
      <c r="R36" s="1107"/>
      <c r="S36" s="387" t="s">
        <v>235</v>
      </c>
      <c r="T36" s="336">
        <f t="shared" si="1"/>
        <v>154.13999999999999</v>
      </c>
      <c r="U36" s="333">
        <f>'Прайс опт полный '!U37</f>
        <v>5762.65</v>
      </c>
      <c r="V36" s="416">
        <f t="shared" si="0"/>
        <v>6628</v>
      </c>
      <c r="W36" s="337">
        <f>ROUNDUP(U36*1.3,0)</f>
        <v>7492</v>
      </c>
    </row>
    <row r="37" spans="1:24" ht="23.25" customHeight="1">
      <c r="A37" s="1111">
        <v>9</v>
      </c>
      <c r="B37" s="1169" t="s">
        <v>375</v>
      </c>
      <c r="C37" s="1132" t="s">
        <v>6</v>
      </c>
      <c r="D37" s="378"/>
      <c r="E37" s="1151" t="s">
        <v>193</v>
      </c>
      <c r="F37" s="1152"/>
      <c r="G37" s="1152"/>
      <c r="H37" s="1152"/>
      <c r="I37" s="1152"/>
      <c r="J37" s="1152"/>
      <c r="K37" s="1153"/>
      <c r="L37" s="379"/>
      <c r="M37" s="1102" t="str">
        <f t="shared" si="3"/>
        <v>25,18-58,76</v>
      </c>
      <c r="N37" s="1103"/>
      <c r="O37" s="1103"/>
      <c r="P37" s="1104"/>
      <c r="Q37" s="490">
        <f>'Прайс опт полный '!Q38</f>
        <v>9.5</v>
      </c>
      <c r="R37" s="371" t="s">
        <v>325</v>
      </c>
      <c r="S37" s="411" t="s">
        <v>342</v>
      </c>
      <c r="T37" s="347">
        <f>V37/Q37</f>
        <v>167.89</v>
      </c>
      <c r="U37" s="333">
        <f>'Прайс опт полный '!U38</f>
        <v>1386.9</v>
      </c>
      <c r="V37" s="416">
        <f t="shared" si="0"/>
        <v>1595</v>
      </c>
      <c r="W37" s="337">
        <f>ROUNDUP(U37*1.3,0)</f>
        <v>1803</v>
      </c>
    </row>
    <row r="38" spans="1:24" ht="27" customHeight="1">
      <c r="A38" s="1150"/>
      <c r="B38" s="1170"/>
      <c r="C38" s="1133"/>
      <c r="D38" s="363"/>
      <c r="E38" s="1154"/>
      <c r="F38" s="1155"/>
      <c r="G38" s="1155"/>
      <c r="H38" s="1155"/>
      <c r="I38" s="1155"/>
      <c r="J38" s="1155"/>
      <c r="K38" s="1156"/>
      <c r="L38" s="364"/>
      <c r="M38" s="1102" t="str">
        <f t="shared" si="3"/>
        <v>23,54-54,92</v>
      </c>
      <c r="N38" s="1103"/>
      <c r="O38" s="1103"/>
      <c r="P38" s="1104"/>
      <c r="Q38" s="490">
        <f>'Прайс опт полный '!Q39</f>
        <v>21</v>
      </c>
      <c r="R38" s="1111" t="s">
        <v>324</v>
      </c>
      <c r="S38" s="371" t="s">
        <v>161</v>
      </c>
      <c r="T38" s="332">
        <f t="shared" si="1"/>
        <v>156.9</v>
      </c>
      <c r="U38" s="333">
        <f>'Прайс опт полный '!U39</f>
        <v>2864.65</v>
      </c>
      <c r="V38" s="416">
        <f t="shared" si="0"/>
        <v>3295</v>
      </c>
      <c r="W38" s="390">
        <f>ROUNDUP(U38*1.3,0)</f>
        <v>3725</v>
      </c>
    </row>
    <row r="39" spans="1:24" ht="49.5" customHeight="1">
      <c r="A39" s="1112"/>
      <c r="B39" s="1171"/>
      <c r="C39" s="1134"/>
      <c r="D39" s="365"/>
      <c r="E39" s="1157"/>
      <c r="F39" s="1158"/>
      <c r="G39" s="1158"/>
      <c r="H39" s="1158"/>
      <c r="I39" s="1158"/>
      <c r="J39" s="1158"/>
      <c r="K39" s="1159"/>
      <c r="L39" s="366"/>
      <c r="M39" s="1102" t="str">
        <f t="shared" si="3"/>
        <v>21,99-51,32</v>
      </c>
      <c r="N39" s="1103"/>
      <c r="O39" s="1103"/>
      <c r="P39" s="1104"/>
      <c r="Q39" s="490">
        <f>'Прайс опт полный '!Q40</f>
        <v>43</v>
      </c>
      <c r="R39" s="1112"/>
      <c r="S39" s="371" t="s">
        <v>236</v>
      </c>
      <c r="T39" s="332">
        <f t="shared" si="1"/>
        <v>146.63</v>
      </c>
      <c r="U39" s="333">
        <f>'Прайс опт полный '!U40</f>
        <v>5482.05</v>
      </c>
      <c r="V39" s="416">
        <f t="shared" si="0"/>
        <v>6305</v>
      </c>
      <c r="W39" s="390">
        <f>ROUNDUP(U39*1.3,0)</f>
        <v>7127</v>
      </c>
    </row>
    <row r="40" spans="1:24" ht="18.75" customHeight="1">
      <c r="A40" s="1144">
        <v>10</v>
      </c>
      <c r="B40" s="1145" t="s">
        <v>376</v>
      </c>
      <c r="C40" s="1113" t="s">
        <v>6</v>
      </c>
      <c r="D40" s="367"/>
      <c r="E40" s="1160" t="s">
        <v>237</v>
      </c>
      <c r="F40" s="1161"/>
      <c r="G40" s="1161"/>
      <c r="H40" s="1161"/>
      <c r="I40" s="1161"/>
      <c r="J40" s="1161"/>
      <c r="K40" s="1162"/>
      <c r="L40" s="368"/>
      <c r="M40" s="1088" t="str">
        <f>CONCATENATE(ROUND(T40*2.5,2),"-",ROUND(T40*4.5,2))</f>
        <v>419,73-755,51</v>
      </c>
      <c r="N40" s="1101"/>
      <c r="O40" s="1101"/>
      <c r="P40" s="1091"/>
      <c r="Q40" s="490">
        <f>'Прайс опт полный '!Q41</f>
        <v>9.5</v>
      </c>
      <c r="R40" s="409" t="s">
        <v>325</v>
      </c>
      <c r="S40" s="409" t="s">
        <v>233</v>
      </c>
      <c r="T40" s="336">
        <f t="shared" si="1"/>
        <v>167.89</v>
      </c>
      <c r="U40" s="333">
        <f>'Прайс опт полный '!U41</f>
        <v>1386.9</v>
      </c>
      <c r="V40" s="416">
        <f t="shared" si="0"/>
        <v>1595</v>
      </c>
      <c r="W40" s="337">
        <f t="shared" ref="W40:W69" si="4">ROUNDUP(U40*1.3,0)</f>
        <v>1803</v>
      </c>
    </row>
    <row r="41" spans="1:24" ht="19.5" customHeight="1">
      <c r="A41" s="1144"/>
      <c r="B41" s="1145"/>
      <c r="C41" s="1114"/>
      <c r="D41" s="378"/>
      <c r="E41" s="1163"/>
      <c r="F41" s="1164"/>
      <c r="G41" s="1164"/>
      <c r="H41" s="1164"/>
      <c r="I41" s="1164"/>
      <c r="J41" s="1164"/>
      <c r="K41" s="1165"/>
      <c r="L41" s="379"/>
      <c r="M41" s="1088" t="str">
        <f>CONCATENATE(ROUND(T41*2.5,2),"-",ROUND(T41*4.5,2))</f>
        <v>392,25-706,05</v>
      </c>
      <c r="N41" s="1101"/>
      <c r="O41" s="1101"/>
      <c r="P41" s="1091"/>
      <c r="Q41" s="490">
        <f>'Прайс опт полный '!Q42</f>
        <v>21</v>
      </c>
      <c r="R41" s="1105" t="s">
        <v>324</v>
      </c>
      <c r="S41" s="409" t="s">
        <v>161</v>
      </c>
      <c r="T41" s="336">
        <f t="shared" si="1"/>
        <v>156.9</v>
      </c>
      <c r="U41" s="333">
        <f>'Прайс опт полный '!U42</f>
        <v>2864.65</v>
      </c>
      <c r="V41" s="416">
        <f t="shared" si="0"/>
        <v>3295</v>
      </c>
      <c r="W41" s="337">
        <f t="shared" si="4"/>
        <v>3725</v>
      </c>
    </row>
    <row r="42" spans="1:24" ht="22.5" customHeight="1">
      <c r="A42" s="1144"/>
      <c r="B42" s="1145"/>
      <c r="C42" s="1115"/>
      <c r="D42" s="369"/>
      <c r="E42" s="1166"/>
      <c r="F42" s="1167"/>
      <c r="G42" s="1167"/>
      <c r="H42" s="1167"/>
      <c r="I42" s="1167"/>
      <c r="J42" s="1167"/>
      <c r="K42" s="1168"/>
      <c r="L42" s="370"/>
      <c r="M42" s="1088" t="str">
        <f>CONCATENATE(ROUND(T42*2.5,2),"-",ROUND(T42*4.5,2))</f>
        <v>366,58-659,84</v>
      </c>
      <c r="N42" s="1101"/>
      <c r="O42" s="1101"/>
      <c r="P42" s="1091"/>
      <c r="Q42" s="490">
        <f>'Прайс опт полный '!Q43</f>
        <v>43</v>
      </c>
      <c r="R42" s="1107"/>
      <c r="S42" s="409" t="s">
        <v>236</v>
      </c>
      <c r="T42" s="336">
        <f t="shared" si="1"/>
        <v>146.63</v>
      </c>
      <c r="U42" s="333">
        <f>'Прайс опт полный '!U43</f>
        <v>5482.05</v>
      </c>
      <c r="V42" s="416">
        <f t="shared" si="0"/>
        <v>6305</v>
      </c>
      <c r="W42" s="337">
        <f t="shared" si="4"/>
        <v>7127</v>
      </c>
    </row>
    <row r="43" spans="1:24" ht="99" customHeight="1">
      <c r="A43" s="371">
        <v>11</v>
      </c>
      <c r="B43" s="408" t="s">
        <v>359</v>
      </c>
      <c r="C43" s="391" t="s">
        <v>379</v>
      </c>
      <c r="D43" s="343"/>
      <c r="E43" s="1102" t="s">
        <v>239</v>
      </c>
      <c r="F43" s="1103"/>
      <c r="G43" s="1103"/>
      <c r="H43" s="1103"/>
      <c r="I43" s="1103"/>
      <c r="J43" s="1103"/>
      <c r="K43" s="1104"/>
      <c r="L43" s="381"/>
      <c r="M43" s="1102">
        <f>T43*1.7</f>
        <v>672.26499999999999</v>
      </c>
      <c r="N43" s="1103"/>
      <c r="O43" s="1103"/>
      <c r="P43" s="1104"/>
      <c r="Q43" s="490">
        <f>'Прайс опт полный '!Q44</f>
        <v>40</v>
      </c>
      <c r="R43" s="371" t="s">
        <v>324</v>
      </c>
      <c r="S43" s="371" t="s">
        <v>240</v>
      </c>
      <c r="T43" s="332">
        <f t="shared" si="1"/>
        <v>395.45</v>
      </c>
      <c r="U43" s="333">
        <f>'Прайс опт полный '!U44</f>
        <v>13754</v>
      </c>
      <c r="V43" s="416">
        <f t="shared" si="0"/>
        <v>15818</v>
      </c>
      <c r="W43" s="390">
        <f t="shared" si="4"/>
        <v>17881</v>
      </c>
      <c r="X43" s="11"/>
    </row>
    <row r="44" spans="1:24" ht="51.75" customHeight="1">
      <c r="A44" s="387">
        <v>12</v>
      </c>
      <c r="B44" s="410" t="s">
        <v>348</v>
      </c>
      <c r="C44" s="388"/>
      <c r="D44" s="344"/>
      <c r="E44" s="1088" t="s">
        <v>242</v>
      </c>
      <c r="F44" s="1101"/>
      <c r="G44" s="1101"/>
      <c r="H44" s="1101"/>
      <c r="I44" s="1101"/>
      <c r="J44" s="1101"/>
      <c r="K44" s="1091"/>
      <c r="L44" s="395"/>
      <c r="M44" s="1088" t="s">
        <v>336</v>
      </c>
      <c r="N44" s="1101"/>
      <c r="O44" s="1101"/>
      <c r="P44" s="1091"/>
      <c r="Q44" s="490">
        <f>'Прайс опт полный '!Q45</f>
        <v>6.6</v>
      </c>
      <c r="R44" s="386" t="s">
        <v>344</v>
      </c>
      <c r="S44" s="409" t="s">
        <v>243</v>
      </c>
      <c r="T44" s="336">
        <f t="shared" si="1"/>
        <v>79.39</v>
      </c>
      <c r="U44" s="333">
        <f>'Прайс опт полный '!U45</f>
        <v>455.4</v>
      </c>
      <c r="V44" s="416">
        <f>ROUNDUP(U44*1.15,0)</f>
        <v>524</v>
      </c>
      <c r="W44" s="337">
        <f t="shared" si="4"/>
        <v>593</v>
      </c>
    </row>
    <row r="45" spans="1:24" ht="118.5" customHeight="1">
      <c r="A45" s="358"/>
      <c r="B45" s="393" t="s">
        <v>55</v>
      </c>
      <c r="C45" s="393" t="s">
        <v>335</v>
      </c>
      <c r="D45" s="393"/>
      <c r="E45" s="1098" t="s">
        <v>218</v>
      </c>
      <c r="F45" s="1099"/>
      <c r="G45" s="1099"/>
      <c r="H45" s="1099"/>
      <c r="I45" s="1099"/>
      <c r="J45" s="1099"/>
      <c r="K45" s="1100"/>
      <c r="L45" s="359"/>
      <c r="M45" s="1098" t="s">
        <v>337</v>
      </c>
      <c r="N45" s="1099"/>
      <c r="O45" s="1099"/>
      <c r="P45" s="1100"/>
      <c r="Q45" s="360"/>
      <c r="R45" s="393" t="s">
        <v>323</v>
      </c>
      <c r="S45" s="393" t="s">
        <v>288</v>
      </c>
      <c r="T45" s="393" t="s">
        <v>256</v>
      </c>
      <c r="U45" s="393" t="s">
        <v>354</v>
      </c>
      <c r="V45" s="414" t="s">
        <v>380</v>
      </c>
      <c r="W45" s="357"/>
    </row>
    <row r="46" spans="1:24" ht="26.25">
      <c r="A46" s="1198" t="s">
        <v>244</v>
      </c>
      <c r="B46" s="1198"/>
      <c r="C46" s="1198"/>
      <c r="D46" s="1198"/>
      <c r="E46" s="1198"/>
      <c r="F46" s="1198"/>
      <c r="G46" s="1198"/>
      <c r="H46" s="1198"/>
      <c r="I46" s="1198"/>
      <c r="J46" s="1198"/>
      <c r="K46" s="1198"/>
      <c r="L46" s="1198"/>
      <c r="M46" s="1198"/>
      <c r="N46" s="1198"/>
      <c r="O46" s="1198"/>
      <c r="P46" s="1198"/>
      <c r="Q46" s="1198"/>
      <c r="R46" s="1198"/>
      <c r="S46" s="1198"/>
      <c r="T46" s="1198"/>
      <c r="U46" s="1198"/>
      <c r="V46" s="1198"/>
      <c r="W46" s="1198"/>
    </row>
    <row r="47" spans="1:24" ht="24" customHeight="1">
      <c r="A47" s="1140">
        <v>13</v>
      </c>
      <c r="B47" s="1180" t="s">
        <v>360</v>
      </c>
      <c r="C47" s="1132" t="s">
        <v>33</v>
      </c>
      <c r="D47" s="373">
        <v>120</v>
      </c>
      <c r="E47" s="1151">
        <v>120</v>
      </c>
      <c r="F47" s="1152"/>
      <c r="G47" s="1152"/>
      <c r="H47" s="1152"/>
      <c r="I47" s="1152"/>
      <c r="J47" s="1152"/>
      <c r="K47" s="1153"/>
      <c r="L47" s="380"/>
      <c r="M47" s="1211">
        <f>T47/(1000/D47)</f>
        <v>13.37</v>
      </c>
      <c r="N47" s="1212"/>
      <c r="O47" s="1212"/>
      <c r="P47" s="1213"/>
      <c r="Q47" s="371">
        <f>'Прайс опт полный '!Q48</f>
        <v>43</v>
      </c>
      <c r="R47" s="1111" t="s">
        <v>324</v>
      </c>
      <c r="S47" s="371" t="s">
        <v>236</v>
      </c>
      <c r="T47" s="332">
        <f>V47/Q47</f>
        <v>111.42</v>
      </c>
      <c r="U47" s="333">
        <f>'Прайс опт полный '!U48</f>
        <v>4165.3</v>
      </c>
      <c r="V47" s="416">
        <f t="shared" si="0"/>
        <v>4791</v>
      </c>
      <c r="W47" s="390">
        <f t="shared" si="4"/>
        <v>5415</v>
      </c>
    </row>
    <row r="48" spans="1:24" ht="21.75" customHeight="1">
      <c r="A48" s="1140"/>
      <c r="B48" s="1146"/>
      <c r="C48" s="1133"/>
      <c r="D48" s="374">
        <v>120</v>
      </c>
      <c r="E48" s="1154"/>
      <c r="F48" s="1155"/>
      <c r="G48" s="1155"/>
      <c r="H48" s="1155"/>
      <c r="I48" s="1155"/>
      <c r="J48" s="1155"/>
      <c r="K48" s="1156"/>
      <c r="L48" s="380"/>
      <c r="M48" s="1211">
        <f>T48/(1000/D48)</f>
        <v>14.31</v>
      </c>
      <c r="N48" s="1212"/>
      <c r="O48" s="1212"/>
      <c r="P48" s="1213"/>
      <c r="Q48" s="490">
        <f>'Прайс опт полный '!Q49</f>
        <v>21</v>
      </c>
      <c r="R48" s="1112"/>
      <c r="S48" s="334" t="s">
        <v>161</v>
      </c>
      <c r="T48" s="332">
        <f t="shared" ref="T48:T62" si="5">V48/Q48</f>
        <v>119.24</v>
      </c>
      <c r="U48" s="333">
        <f>'Прайс опт полный '!U49</f>
        <v>2176.9499999999998</v>
      </c>
      <c r="V48" s="416">
        <f t="shared" si="0"/>
        <v>2504</v>
      </c>
      <c r="W48" s="390">
        <f t="shared" si="4"/>
        <v>2831</v>
      </c>
    </row>
    <row r="49" spans="1:23" ht="24.75" customHeight="1">
      <c r="A49" s="1140"/>
      <c r="B49" s="1146"/>
      <c r="C49" s="1133"/>
      <c r="D49" s="374"/>
      <c r="E49" s="1154"/>
      <c r="F49" s="1155"/>
      <c r="G49" s="1155"/>
      <c r="H49" s="1155"/>
      <c r="I49" s="1155"/>
      <c r="J49" s="1155"/>
      <c r="K49" s="1156"/>
      <c r="L49" s="363"/>
      <c r="M49" s="1151" t="s">
        <v>15</v>
      </c>
      <c r="N49" s="1152"/>
      <c r="O49" s="1152"/>
      <c r="P49" s="1153"/>
      <c r="Q49" s="490">
        <f>'Прайс опт полный '!Q50</f>
        <v>2.7</v>
      </c>
      <c r="R49" s="1111" t="s">
        <v>345</v>
      </c>
      <c r="S49" s="345" t="s">
        <v>139</v>
      </c>
      <c r="T49" s="332">
        <f t="shared" si="5"/>
        <v>136.66999999999999</v>
      </c>
      <c r="U49" s="333">
        <f>'Прайс опт полный '!U50</f>
        <v>320.85000000000002</v>
      </c>
      <c r="V49" s="416">
        <f t="shared" si="0"/>
        <v>369</v>
      </c>
      <c r="W49" s="390">
        <f t="shared" si="4"/>
        <v>418</v>
      </c>
    </row>
    <row r="50" spans="1:23" ht="28.5" customHeight="1">
      <c r="A50" s="1140"/>
      <c r="B50" s="1146"/>
      <c r="C50" s="1134"/>
      <c r="D50" s="375"/>
      <c r="E50" s="1157"/>
      <c r="F50" s="1158"/>
      <c r="G50" s="1158"/>
      <c r="H50" s="1158"/>
      <c r="I50" s="1158"/>
      <c r="J50" s="1158"/>
      <c r="K50" s="1159"/>
      <c r="L50" s="365"/>
      <c r="M50" s="1157"/>
      <c r="N50" s="1158"/>
      <c r="O50" s="1158"/>
      <c r="P50" s="1159"/>
      <c r="Q50" s="490">
        <f>'Прайс опт полный '!Q51</f>
        <v>0.95</v>
      </c>
      <c r="R50" s="1112"/>
      <c r="S50" s="345" t="s">
        <v>140</v>
      </c>
      <c r="T50" s="332">
        <f t="shared" si="5"/>
        <v>146.32</v>
      </c>
      <c r="U50" s="333">
        <f>'Прайс опт полный '!U51</f>
        <v>120.75</v>
      </c>
      <c r="V50" s="416">
        <f t="shared" si="0"/>
        <v>139</v>
      </c>
      <c r="W50" s="390">
        <f t="shared" si="4"/>
        <v>157</v>
      </c>
    </row>
    <row r="51" spans="1:23" ht="28.5" customHeight="1">
      <c r="A51" s="1144">
        <v>14</v>
      </c>
      <c r="B51" s="1172" t="s">
        <v>361</v>
      </c>
      <c r="C51" s="1113" t="s">
        <v>33</v>
      </c>
      <c r="D51" s="382">
        <v>120</v>
      </c>
      <c r="E51" s="1160">
        <v>120</v>
      </c>
      <c r="F51" s="1161"/>
      <c r="G51" s="1161"/>
      <c r="H51" s="1161"/>
      <c r="I51" s="1161"/>
      <c r="J51" s="1161"/>
      <c r="K51" s="1162"/>
      <c r="L51" s="394"/>
      <c r="M51" s="1096">
        <f>T51/(1000/D51)</f>
        <v>11.63</v>
      </c>
      <c r="N51" s="1210"/>
      <c r="O51" s="1210"/>
      <c r="P51" s="1097"/>
      <c r="Q51" s="490">
        <f>'Прайс опт полный '!Q52</f>
        <v>43</v>
      </c>
      <c r="R51" s="1105" t="s">
        <v>324</v>
      </c>
      <c r="S51" s="387" t="s">
        <v>236</v>
      </c>
      <c r="T51" s="336">
        <f t="shared" si="5"/>
        <v>96.88</v>
      </c>
      <c r="U51" s="333">
        <f>'Прайс опт полный '!U52</f>
        <v>4165.3</v>
      </c>
      <c r="V51" s="416">
        <v>4166</v>
      </c>
      <c r="W51" s="390">
        <v>4709</v>
      </c>
    </row>
    <row r="52" spans="1:23" ht="27">
      <c r="A52" s="1144"/>
      <c r="B52" s="1173"/>
      <c r="C52" s="1114"/>
      <c r="D52" s="383">
        <v>120</v>
      </c>
      <c r="E52" s="1163"/>
      <c r="F52" s="1164"/>
      <c r="G52" s="1164"/>
      <c r="H52" s="1164"/>
      <c r="I52" s="1164"/>
      <c r="J52" s="1164"/>
      <c r="K52" s="1165"/>
      <c r="L52" s="394"/>
      <c r="M52" s="1096">
        <f>T52/(1000/D52)</f>
        <v>12.44</v>
      </c>
      <c r="N52" s="1210"/>
      <c r="O52" s="1210"/>
      <c r="P52" s="1097"/>
      <c r="Q52" s="490">
        <f>'Прайс опт полный '!Q53</f>
        <v>21</v>
      </c>
      <c r="R52" s="1107"/>
      <c r="S52" s="338" t="s">
        <v>161</v>
      </c>
      <c r="T52" s="336">
        <f t="shared" si="5"/>
        <v>103.67</v>
      </c>
      <c r="U52" s="333">
        <f>'Прайс опт полный '!U53</f>
        <v>2176.9499999999998</v>
      </c>
      <c r="V52" s="416">
        <v>2177</v>
      </c>
      <c r="W52" s="390">
        <v>2461</v>
      </c>
    </row>
    <row r="53" spans="1:23" ht="21" customHeight="1">
      <c r="A53" s="1144"/>
      <c r="B53" s="1173"/>
      <c r="C53" s="1114"/>
      <c r="D53" s="383"/>
      <c r="E53" s="1163"/>
      <c r="F53" s="1164"/>
      <c r="G53" s="1164"/>
      <c r="H53" s="1164"/>
      <c r="I53" s="1164"/>
      <c r="J53" s="1164"/>
      <c r="K53" s="1165"/>
      <c r="L53" s="367"/>
      <c r="M53" s="1160" t="s">
        <v>15</v>
      </c>
      <c r="N53" s="1161"/>
      <c r="O53" s="1161"/>
      <c r="P53" s="1162"/>
      <c r="Q53" s="490">
        <f>'Прайс опт полный '!Q54</f>
        <v>2.7</v>
      </c>
      <c r="R53" s="1105" t="s">
        <v>345</v>
      </c>
      <c r="S53" s="346" t="s">
        <v>139</v>
      </c>
      <c r="T53" s="336">
        <f t="shared" si="5"/>
        <v>118.89</v>
      </c>
      <c r="U53" s="333">
        <f>'Прайс опт полный '!U54</f>
        <v>320.85000000000002</v>
      </c>
      <c r="V53" s="416">
        <v>321</v>
      </c>
      <c r="W53" s="390">
        <v>363</v>
      </c>
    </row>
    <row r="54" spans="1:23" ht="22.5" customHeight="1">
      <c r="A54" s="1144"/>
      <c r="B54" s="1174"/>
      <c r="C54" s="1115"/>
      <c r="D54" s="384"/>
      <c r="E54" s="1166"/>
      <c r="F54" s="1167"/>
      <c r="G54" s="1167"/>
      <c r="H54" s="1167"/>
      <c r="I54" s="1167"/>
      <c r="J54" s="1167"/>
      <c r="K54" s="1168"/>
      <c r="L54" s="369"/>
      <c r="M54" s="1166"/>
      <c r="N54" s="1167"/>
      <c r="O54" s="1167"/>
      <c r="P54" s="1168"/>
      <c r="Q54" s="490">
        <f>'Прайс опт полный '!Q55</f>
        <v>0.95</v>
      </c>
      <c r="R54" s="1107"/>
      <c r="S54" s="346" t="s">
        <v>140</v>
      </c>
      <c r="T54" s="336">
        <f t="shared" si="5"/>
        <v>127.37</v>
      </c>
      <c r="U54" s="333">
        <f>'Прайс опт полный '!U55</f>
        <v>120.75</v>
      </c>
      <c r="V54" s="416">
        <v>121</v>
      </c>
      <c r="W54" s="390">
        <v>137</v>
      </c>
    </row>
    <row r="55" spans="1:23" ht="27">
      <c r="A55" s="1175">
        <v>15</v>
      </c>
      <c r="B55" s="1176" t="s">
        <v>362</v>
      </c>
      <c r="C55" s="1177" t="s">
        <v>39</v>
      </c>
      <c r="D55" s="398">
        <v>80</v>
      </c>
      <c r="E55" s="1092">
        <v>80</v>
      </c>
      <c r="F55" s="1207"/>
      <c r="G55" s="1207"/>
      <c r="H55" s="1207"/>
      <c r="I55" s="1207"/>
      <c r="J55" s="1207"/>
      <c r="K55" s="1093"/>
      <c r="L55" s="396"/>
      <c r="M55" s="1082">
        <f>T55/(1000/D55)</f>
        <v>15.45</v>
      </c>
      <c r="N55" s="1209"/>
      <c r="O55" s="1209"/>
      <c r="P55" s="1083"/>
      <c r="Q55" s="490">
        <f>'Прайс опт полный '!Q56</f>
        <v>40</v>
      </c>
      <c r="R55" s="1127" t="s">
        <v>324</v>
      </c>
      <c r="S55" s="397" t="s">
        <v>240</v>
      </c>
      <c r="T55" s="332">
        <f>V55/Q55</f>
        <v>193.18</v>
      </c>
      <c r="U55" s="333">
        <f>'Прайс опт полный '!U56</f>
        <v>6718.3</v>
      </c>
      <c r="V55" s="416">
        <f>ROUNDUP(U55*1.15,0)</f>
        <v>7727</v>
      </c>
      <c r="W55" s="337">
        <f t="shared" si="4"/>
        <v>8734</v>
      </c>
    </row>
    <row r="56" spans="1:23" ht="22.5" customHeight="1">
      <c r="A56" s="1175"/>
      <c r="B56" s="1176"/>
      <c r="C56" s="1178"/>
      <c r="D56" s="399">
        <v>80</v>
      </c>
      <c r="E56" s="1223"/>
      <c r="F56" s="1224"/>
      <c r="G56" s="1224"/>
      <c r="H56" s="1224"/>
      <c r="I56" s="1224"/>
      <c r="J56" s="1224"/>
      <c r="K56" s="1225"/>
      <c r="L56" s="396"/>
      <c r="M56" s="1082">
        <f>T56/(1000/D56)</f>
        <v>16.54</v>
      </c>
      <c r="N56" s="1209"/>
      <c r="O56" s="1209"/>
      <c r="P56" s="1083"/>
      <c r="Q56" s="490">
        <f>'Прайс опт полный '!Q57</f>
        <v>20</v>
      </c>
      <c r="R56" s="1129"/>
      <c r="S56" s="400" t="s">
        <v>162</v>
      </c>
      <c r="T56" s="332">
        <f t="shared" si="5"/>
        <v>206.75</v>
      </c>
      <c r="U56" s="333">
        <f>'Прайс опт полный '!U57</f>
        <v>3594.9</v>
      </c>
      <c r="V56" s="416">
        <f t="shared" si="0"/>
        <v>4135</v>
      </c>
      <c r="W56" s="337">
        <f t="shared" si="4"/>
        <v>4674</v>
      </c>
    </row>
    <row r="57" spans="1:23" ht="23.25" customHeight="1">
      <c r="A57" s="1175"/>
      <c r="B57" s="1176"/>
      <c r="C57" s="1178"/>
      <c r="D57" s="399"/>
      <c r="E57" s="1223"/>
      <c r="F57" s="1224"/>
      <c r="G57" s="1224"/>
      <c r="H57" s="1224"/>
      <c r="I57" s="1224"/>
      <c r="J57" s="1224"/>
      <c r="K57" s="1225"/>
      <c r="L57" s="361"/>
      <c r="M57" s="1092" t="s">
        <v>15</v>
      </c>
      <c r="N57" s="1207"/>
      <c r="O57" s="1207"/>
      <c r="P57" s="1093"/>
      <c r="Q57" s="490">
        <f>'Прайс опт полный '!Q58</f>
        <v>2.6</v>
      </c>
      <c r="R57" s="1127" t="s">
        <v>345</v>
      </c>
      <c r="S57" s="401" t="s">
        <v>128</v>
      </c>
      <c r="T57" s="332">
        <f t="shared" si="5"/>
        <v>237.31</v>
      </c>
      <c r="U57" s="333">
        <f>'Прайс опт полный '!U58</f>
        <v>535.9</v>
      </c>
      <c r="V57" s="416">
        <f t="shared" si="0"/>
        <v>617</v>
      </c>
      <c r="W57" s="337">
        <f t="shared" si="4"/>
        <v>697</v>
      </c>
    </row>
    <row r="58" spans="1:23" ht="21.75" customHeight="1">
      <c r="A58" s="1175"/>
      <c r="B58" s="1176"/>
      <c r="C58" s="1179"/>
      <c r="D58" s="402"/>
      <c r="E58" s="1094"/>
      <c r="F58" s="1208"/>
      <c r="G58" s="1208"/>
      <c r="H58" s="1208"/>
      <c r="I58" s="1208"/>
      <c r="J58" s="1208"/>
      <c r="K58" s="1095"/>
      <c r="L58" s="362"/>
      <c r="M58" s="1094"/>
      <c r="N58" s="1208"/>
      <c r="O58" s="1208"/>
      <c r="P58" s="1095"/>
      <c r="Q58" s="490">
        <f>'Прайс опт полный '!Q59</f>
        <v>0.9</v>
      </c>
      <c r="R58" s="1129"/>
      <c r="S58" s="400" t="s">
        <v>129</v>
      </c>
      <c r="T58" s="332">
        <f t="shared" si="5"/>
        <v>254.44</v>
      </c>
      <c r="U58" s="333">
        <f>'Прайс опт полный '!U59</f>
        <v>198.95</v>
      </c>
      <c r="V58" s="416">
        <f t="shared" si="0"/>
        <v>229</v>
      </c>
      <c r="W58" s="337">
        <f t="shared" si="4"/>
        <v>259</v>
      </c>
    </row>
    <row r="59" spans="1:23" ht="27.75" customHeight="1">
      <c r="A59" s="1144">
        <v>16</v>
      </c>
      <c r="B59" s="1145" t="s">
        <v>363</v>
      </c>
      <c r="C59" s="1113" t="s">
        <v>39</v>
      </c>
      <c r="D59" s="382">
        <v>80</v>
      </c>
      <c r="E59" s="1160">
        <v>80</v>
      </c>
      <c r="F59" s="1161"/>
      <c r="G59" s="1161"/>
      <c r="H59" s="1161"/>
      <c r="I59" s="1161"/>
      <c r="J59" s="1161"/>
      <c r="K59" s="1162"/>
      <c r="L59" s="394"/>
      <c r="M59" s="1096">
        <f>T59/(1000/D59)</f>
        <v>15.45</v>
      </c>
      <c r="N59" s="1210"/>
      <c r="O59" s="1210"/>
      <c r="P59" s="1097"/>
      <c r="Q59" s="490">
        <f>'Прайс опт полный '!Q60</f>
        <v>40</v>
      </c>
      <c r="R59" s="1105" t="s">
        <v>324</v>
      </c>
      <c r="S59" s="387" t="s">
        <v>240</v>
      </c>
      <c r="T59" s="336">
        <f t="shared" si="5"/>
        <v>193.18</v>
      </c>
      <c r="U59" s="333">
        <f>'Прайс опт полный '!U60</f>
        <v>6718.3</v>
      </c>
      <c r="V59" s="416">
        <f t="shared" si="0"/>
        <v>7727</v>
      </c>
      <c r="W59" s="390">
        <f t="shared" si="4"/>
        <v>8734</v>
      </c>
    </row>
    <row r="60" spans="1:23" ht="21.75" customHeight="1">
      <c r="A60" s="1144"/>
      <c r="B60" s="1145"/>
      <c r="C60" s="1114"/>
      <c r="D60" s="383">
        <v>80</v>
      </c>
      <c r="E60" s="1163"/>
      <c r="F60" s="1164"/>
      <c r="G60" s="1164"/>
      <c r="H60" s="1164"/>
      <c r="I60" s="1164"/>
      <c r="J60" s="1164"/>
      <c r="K60" s="1165"/>
      <c r="L60" s="394"/>
      <c r="M60" s="1096">
        <f>T60/(1000/D60)</f>
        <v>16.54</v>
      </c>
      <c r="N60" s="1210"/>
      <c r="O60" s="1210"/>
      <c r="P60" s="1097"/>
      <c r="Q60" s="490">
        <f>'Прайс опт полный '!Q61</f>
        <v>20</v>
      </c>
      <c r="R60" s="1107"/>
      <c r="S60" s="338" t="s">
        <v>162</v>
      </c>
      <c r="T60" s="336">
        <f t="shared" si="5"/>
        <v>206.75</v>
      </c>
      <c r="U60" s="333">
        <f>'Прайс опт полный '!U61</f>
        <v>3594.9</v>
      </c>
      <c r="V60" s="416">
        <f t="shared" si="0"/>
        <v>4135</v>
      </c>
      <c r="W60" s="390">
        <f t="shared" si="4"/>
        <v>4674</v>
      </c>
    </row>
    <row r="61" spans="1:23" ht="27" customHeight="1">
      <c r="A61" s="1144"/>
      <c r="B61" s="1145"/>
      <c r="C61" s="1114"/>
      <c r="D61" s="383"/>
      <c r="E61" s="1163"/>
      <c r="F61" s="1164"/>
      <c r="G61" s="1164"/>
      <c r="H61" s="1164"/>
      <c r="I61" s="1164"/>
      <c r="J61" s="1164"/>
      <c r="K61" s="1165"/>
      <c r="L61" s="367"/>
      <c r="M61" s="1160" t="s">
        <v>15</v>
      </c>
      <c r="N61" s="1161"/>
      <c r="O61" s="1161"/>
      <c r="P61" s="1162"/>
      <c r="Q61" s="490">
        <f>'Прайс опт полный '!Q62</f>
        <v>2.6</v>
      </c>
      <c r="R61" s="1105" t="s">
        <v>345</v>
      </c>
      <c r="S61" s="346" t="s">
        <v>128</v>
      </c>
      <c r="T61" s="336">
        <f t="shared" si="5"/>
        <v>237.31</v>
      </c>
      <c r="U61" s="333">
        <f>'Прайс опт полный '!U62</f>
        <v>535.9</v>
      </c>
      <c r="V61" s="416">
        <f t="shared" si="0"/>
        <v>617</v>
      </c>
      <c r="W61" s="390">
        <f t="shared" si="4"/>
        <v>697</v>
      </c>
    </row>
    <row r="62" spans="1:23" ht="21" customHeight="1">
      <c r="A62" s="1144"/>
      <c r="B62" s="1145"/>
      <c r="C62" s="1115"/>
      <c r="D62" s="384"/>
      <c r="E62" s="1166"/>
      <c r="F62" s="1167"/>
      <c r="G62" s="1167"/>
      <c r="H62" s="1167"/>
      <c r="I62" s="1167"/>
      <c r="J62" s="1167"/>
      <c r="K62" s="1168"/>
      <c r="L62" s="369"/>
      <c r="M62" s="1166"/>
      <c r="N62" s="1167"/>
      <c r="O62" s="1167"/>
      <c r="P62" s="1168"/>
      <c r="Q62" s="490">
        <f>'Прайс опт полный '!Q63</f>
        <v>0.9</v>
      </c>
      <c r="R62" s="1107"/>
      <c r="S62" s="338" t="s">
        <v>129</v>
      </c>
      <c r="T62" s="336">
        <f t="shared" si="5"/>
        <v>254.44</v>
      </c>
      <c r="U62" s="333">
        <f>'Прайс опт полный '!U63</f>
        <v>198.95</v>
      </c>
      <c r="V62" s="416">
        <f t="shared" si="0"/>
        <v>229</v>
      </c>
      <c r="W62" s="390">
        <f t="shared" si="4"/>
        <v>259</v>
      </c>
    </row>
    <row r="63" spans="1:23" ht="46.5" customHeight="1">
      <c r="A63" s="1204">
        <v>17</v>
      </c>
      <c r="B63" s="1220" t="s">
        <v>381</v>
      </c>
      <c r="C63" s="403" t="s">
        <v>350</v>
      </c>
      <c r="D63" s="403"/>
      <c r="E63" s="1181">
        <v>3.8</v>
      </c>
      <c r="F63" s="1182"/>
      <c r="G63" s="1182"/>
      <c r="H63" s="1182"/>
      <c r="I63" s="1182"/>
      <c r="J63" s="1182"/>
      <c r="K63" s="1183"/>
      <c r="L63" s="405"/>
      <c r="M63" s="1214">
        <f>T63/21/12.5</f>
        <v>1.55</v>
      </c>
      <c r="N63" s="1215"/>
      <c r="O63" s="1215"/>
      <c r="P63" s="1216"/>
      <c r="Q63" s="490">
        <f>'Прайс опт полный '!Q64</f>
        <v>43</v>
      </c>
      <c r="R63" s="1204" t="s">
        <v>324</v>
      </c>
      <c r="S63" s="1194" t="s">
        <v>343</v>
      </c>
      <c r="T63" s="1191">
        <f>V63/Q64</f>
        <v>407.31</v>
      </c>
      <c r="U63" s="1256">
        <v>15230</v>
      </c>
      <c r="V63" s="1259">
        <f>U63*1.15</f>
        <v>17514.5</v>
      </c>
      <c r="W63" s="1217">
        <f>U63*1.3</f>
        <v>19799</v>
      </c>
    </row>
    <row r="64" spans="1:23" ht="47.25" customHeight="1">
      <c r="A64" s="1205"/>
      <c r="B64" s="1221"/>
      <c r="C64" s="403" t="s">
        <v>351</v>
      </c>
      <c r="D64" s="403"/>
      <c r="E64" s="1181">
        <v>5</v>
      </c>
      <c r="F64" s="1182"/>
      <c r="G64" s="1182"/>
      <c r="H64" s="1182"/>
      <c r="I64" s="1182"/>
      <c r="J64" s="1182"/>
      <c r="K64" s="1183"/>
      <c r="L64" s="405"/>
      <c r="M64" s="1214">
        <f>T63/16/12.5</f>
        <v>2.04</v>
      </c>
      <c r="N64" s="1215"/>
      <c r="O64" s="1215"/>
      <c r="P64" s="1216"/>
      <c r="Q64" s="490">
        <f>'Прайс опт полный '!Q65</f>
        <v>43</v>
      </c>
      <c r="R64" s="1205"/>
      <c r="S64" s="1195"/>
      <c r="T64" s="1192"/>
      <c r="U64" s="1262"/>
      <c r="V64" s="1260"/>
      <c r="W64" s="1218"/>
    </row>
    <row r="65" spans="1:23" ht="46.5" customHeight="1">
      <c r="A65" s="1205"/>
      <c r="B65" s="1221"/>
      <c r="C65" s="403" t="s">
        <v>352</v>
      </c>
      <c r="D65" s="403"/>
      <c r="E65" s="1181">
        <v>7.3</v>
      </c>
      <c r="F65" s="1182"/>
      <c r="G65" s="1182"/>
      <c r="H65" s="1182"/>
      <c r="I65" s="1182"/>
      <c r="J65" s="1182"/>
      <c r="K65" s="1183"/>
      <c r="L65" s="405"/>
      <c r="M65" s="1214">
        <f>T63/11/12.5</f>
        <v>2.96</v>
      </c>
      <c r="N65" s="1215"/>
      <c r="O65" s="1215"/>
      <c r="P65" s="1216"/>
      <c r="Q65" s="490">
        <f>'Прайс опт полный '!Q66</f>
        <v>43</v>
      </c>
      <c r="R65" s="1206"/>
      <c r="S65" s="1196"/>
      <c r="T65" s="1193"/>
      <c r="U65" s="1263"/>
      <c r="V65" s="1261"/>
      <c r="W65" s="1219"/>
    </row>
    <row r="66" spans="1:23" ht="47.25" customHeight="1">
      <c r="A66" s="1205"/>
      <c r="B66" s="1221"/>
      <c r="C66" s="403" t="s">
        <v>353</v>
      </c>
      <c r="D66" s="403"/>
      <c r="E66" s="1181">
        <v>3.8</v>
      </c>
      <c r="F66" s="1182"/>
      <c r="G66" s="1182"/>
      <c r="H66" s="1182"/>
      <c r="I66" s="1182"/>
      <c r="J66" s="1182"/>
      <c r="K66" s="1183"/>
      <c r="L66" s="405"/>
      <c r="M66" s="1214">
        <f>T66/21/12.5</f>
        <v>1.63</v>
      </c>
      <c r="N66" s="1215"/>
      <c r="O66" s="1215"/>
      <c r="P66" s="1216"/>
      <c r="Q66" s="490">
        <f>'Прайс опт полный '!Q67</f>
        <v>21</v>
      </c>
      <c r="R66" s="1204" t="s">
        <v>324</v>
      </c>
      <c r="S66" s="1194"/>
      <c r="T66" s="1191">
        <f>V66/Q67</f>
        <v>427.69</v>
      </c>
      <c r="U66" s="1256">
        <v>7810</v>
      </c>
      <c r="V66" s="1259">
        <f>U66*1.15</f>
        <v>8981.5</v>
      </c>
      <c r="W66" s="1217">
        <f>U66*1.3</f>
        <v>10153</v>
      </c>
    </row>
    <row r="67" spans="1:23" ht="43.5" customHeight="1">
      <c r="A67" s="1205"/>
      <c r="B67" s="1221"/>
      <c r="C67" s="403" t="s">
        <v>351</v>
      </c>
      <c r="D67" s="403"/>
      <c r="E67" s="1181">
        <v>5</v>
      </c>
      <c r="F67" s="1182"/>
      <c r="G67" s="1182"/>
      <c r="H67" s="1182"/>
      <c r="I67" s="1182"/>
      <c r="J67" s="1182"/>
      <c r="K67" s="1183"/>
      <c r="L67" s="405"/>
      <c r="M67" s="1214">
        <f>T66/16/12.5</f>
        <v>2.14</v>
      </c>
      <c r="N67" s="1215"/>
      <c r="O67" s="1215"/>
      <c r="P67" s="1216"/>
      <c r="Q67" s="490">
        <f>'Прайс опт полный '!Q68</f>
        <v>21</v>
      </c>
      <c r="R67" s="1205"/>
      <c r="S67" s="1195"/>
      <c r="T67" s="1192"/>
      <c r="U67" s="1257"/>
      <c r="V67" s="1260"/>
      <c r="W67" s="1218"/>
    </row>
    <row r="68" spans="1:23" ht="41.25" customHeight="1">
      <c r="A68" s="1206"/>
      <c r="B68" s="1222"/>
      <c r="C68" s="403" t="s">
        <v>352</v>
      </c>
      <c r="D68" s="403"/>
      <c r="E68" s="1181">
        <v>7.3</v>
      </c>
      <c r="F68" s="1182"/>
      <c r="G68" s="1182"/>
      <c r="H68" s="1182"/>
      <c r="I68" s="1182"/>
      <c r="J68" s="1182"/>
      <c r="K68" s="1183"/>
      <c r="L68" s="405"/>
      <c r="M68" s="1214">
        <f>T66/11/12.5</f>
        <v>3.11</v>
      </c>
      <c r="N68" s="1215"/>
      <c r="O68" s="1215"/>
      <c r="P68" s="1216"/>
      <c r="Q68" s="490">
        <f>'Прайс опт полный '!Q69</f>
        <v>21</v>
      </c>
      <c r="R68" s="1206"/>
      <c r="S68" s="1196"/>
      <c r="T68" s="1193"/>
      <c r="U68" s="1258"/>
      <c r="V68" s="1261"/>
      <c r="W68" s="1219"/>
    </row>
    <row r="69" spans="1:23" ht="95.25" customHeight="1">
      <c r="A69" s="407">
        <v>18</v>
      </c>
      <c r="B69" s="388" t="s">
        <v>364</v>
      </c>
      <c r="C69" s="386" t="s">
        <v>15</v>
      </c>
      <c r="D69" s="386"/>
      <c r="E69" s="1088" t="s">
        <v>346</v>
      </c>
      <c r="F69" s="1101"/>
      <c r="G69" s="1101"/>
      <c r="H69" s="1101"/>
      <c r="I69" s="1101"/>
      <c r="J69" s="1101"/>
      <c r="K69" s="1091"/>
      <c r="L69" s="394"/>
      <c r="M69" s="1088" t="s">
        <v>338</v>
      </c>
      <c r="N69" s="1101"/>
      <c r="O69" s="1101"/>
      <c r="P69" s="1091"/>
      <c r="Q69" s="490">
        <f>'Прайс опт полный '!Q70</f>
        <v>90</v>
      </c>
      <c r="R69" s="387" t="s">
        <v>324</v>
      </c>
      <c r="S69" s="386" t="s">
        <v>280</v>
      </c>
      <c r="T69" s="336">
        <f>V69/Q69</f>
        <v>120.76</v>
      </c>
      <c r="U69" s="333">
        <f>'[1]прайс пром.2'!N11</f>
        <v>9450</v>
      </c>
      <c r="V69" s="416">
        <f t="shared" si="0"/>
        <v>10868</v>
      </c>
      <c r="W69" s="348">
        <f t="shared" si="4"/>
        <v>12285</v>
      </c>
    </row>
    <row r="70" spans="1:23" ht="26.25">
      <c r="A70" s="1198" t="s">
        <v>247</v>
      </c>
      <c r="B70" s="1198"/>
      <c r="C70" s="1198"/>
      <c r="D70" s="1198"/>
      <c r="E70" s="1198"/>
      <c r="F70" s="1198"/>
      <c r="G70" s="1198"/>
      <c r="H70" s="1198"/>
      <c r="I70" s="1198"/>
      <c r="J70" s="1198"/>
      <c r="K70" s="1198"/>
      <c r="L70" s="1198"/>
      <c r="M70" s="1198"/>
      <c r="N70" s="1198"/>
      <c r="O70" s="1198"/>
      <c r="P70" s="1198"/>
      <c r="Q70" s="1198"/>
      <c r="R70" s="1198"/>
      <c r="S70" s="1198"/>
      <c r="T70" s="1198"/>
      <c r="U70" s="1198"/>
      <c r="V70" s="1198"/>
      <c r="W70" s="1198"/>
    </row>
    <row r="71" spans="1:23" ht="30.75" customHeight="1">
      <c r="A71" s="1140">
        <v>19</v>
      </c>
      <c r="B71" s="1197" t="s">
        <v>365</v>
      </c>
      <c r="C71" s="1132" t="s">
        <v>105</v>
      </c>
      <c r="D71" s="373"/>
      <c r="E71" s="1203" t="s">
        <v>282</v>
      </c>
      <c r="F71" s="1203"/>
      <c r="G71" s="1203"/>
      <c r="H71" s="1203"/>
      <c r="I71" s="1203"/>
      <c r="J71" s="1203"/>
      <c r="K71" s="1203"/>
      <c r="L71" s="349"/>
      <c r="M71" s="1084" t="s">
        <v>339</v>
      </c>
      <c r="N71" s="1085"/>
      <c r="O71" s="1084" t="s">
        <v>340</v>
      </c>
      <c r="P71" s="1085"/>
      <c r="Q71" s="371"/>
      <c r="R71" s="1111" t="s">
        <v>325</v>
      </c>
      <c r="S71" s="1199" t="s">
        <v>138</v>
      </c>
      <c r="T71" s="1184">
        <f>V71/Q72</f>
        <v>129.72999999999999</v>
      </c>
      <c r="U71" s="1264">
        <v>1241</v>
      </c>
      <c r="V71" s="1265">
        <f>ROUND(U71*1.15,0)</f>
        <v>1427</v>
      </c>
      <c r="W71" s="1202">
        <f>ROUND(U71*1.3,0)</f>
        <v>1613</v>
      </c>
    </row>
    <row r="72" spans="1:23" ht="24.75" customHeight="1">
      <c r="A72" s="1140"/>
      <c r="B72" s="1197"/>
      <c r="C72" s="1133"/>
      <c r="D72" s="374">
        <v>90</v>
      </c>
      <c r="E72" s="1138" t="s">
        <v>281</v>
      </c>
      <c r="F72" s="1138"/>
      <c r="G72" s="1138"/>
      <c r="H72" s="1138"/>
      <c r="I72" s="1138"/>
      <c r="J72" s="1138"/>
      <c r="K72" s="1138"/>
      <c r="L72" s="380">
        <v>220</v>
      </c>
      <c r="M72" s="1086" t="str">
        <f>CONCATENATE(ROUND(T71*0.09,2),"-",ROUND(T71*0.22,2))</f>
        <v>11,68-28,54</v>
      </c>
      <c r="N72" s="1087"/>
      <c r="O72" s="1086" t="str">
        <f>CONCATENATE(ROUND(Q72*1000/L72,2),"-",ROUND(Q72*1000/D72,2))</f>
        <v>50-122,22</v>
      </c>
      <c r="P72" s="1087"/>
      <c r="Q72" s="371">
        <f>'Прайс опт полный '!Q73</f>
        <v>11</v>
      </c>
      <c r="R72" s="1150"/>
      <c r="S72" s="1200"/>
      <c r="T72" s="1185"/>
      <c r="U72" s="1264"/>
      <c r="V72" s="1265"/>
      <c r="W72" s="1202"/>
    </row>
    <row r="73" spans="1:23" ht="32.25" customHeight="1">
      <c r="A73" s="1140"/>
      <c r="B73" s="1197"/>
      <c r="C73" s="1133"/>
      <c r="D73" s="374">
        <v>90</v>
      </c>
      <c r="E73" s="1138"/>
      <c r="F73" s="1138"/>
      <c r="G73" s="1138"/>
      <c r="H73" s="1138"/>
      <c r="I73" s="1138"/>
      <c r="J73" s="1138"/>
      <c r="K73" s="1138"/>
      <c r="L73" s="380">
        <v>220</v>
      </c>
      <c r="M73" s="1086" t="str">
        <f>CONCATENATE(ROUND(T73*0.09,2),"-",ROUND(T73*0.22,2))</f>
        <v>14,75-36,07</v>
      </c>
      <c r="N73" s="1090"/>
      <c r="O73" s="1086" t="str">
        <f>CONCATENATE(ROUND(Q73*1000/L73,2),"-",ROUND(Q73*1000/D73,2))</f>
        <v>15-36,67</v>
      </c>
      <c r="P73" s="1087"/>
      <c r="Q73" s="490">
        <f>'Прайс опт полный '!Q74</f>
        <v>3.3</v>
      </c>
      <c r="R73" s="1112"/>
      <c r="S73" s="334" t="s">
        <v>137</v>
      </c>
      <c r="T73" s="332">
        <f>V73/Q73</f>
        <v>163.94</v>
      </c>
      <c r="U73" s="389">
        <f>'Прайс опт полный '!U74</f>
        <v>470.35</v>
      </c>
      <c r="V73" s="416">
        <f t="shared" ref="V73:V82" si="6">ROUNDUP(U73*1.15,0)</f>
        <v>541</v>
      </c>
      <c r="W73" s="390">
        <f t="shared" ref="W73:W83" si="7">ROUNDUP(U73*1.3,0)</f>
        <v>612</v>
      </c>
    </row>
    <row r="74" spans="1:23" ht="39" customHeight="1">
      <c r="A74" s="1140"/>
      <c r="B74" s="1197"/>
      <c r="C74" s="1134"/>
      <c r="D74" s="374">
        <v>90</v>
      </c>
      <c r="E74" s="1138"/>
      <c r="F74" s="1138"/>
      <c r="G74" s="1138"/>
      <c r="H74" s="1138"/>
      <c r="I74" s="1138"/>
      <c r="J74" s="1138"/>
      <c r="K74" s="1138"/>
      <c r="L74" s="380">
        <v>220</v>
      </c>
      <c r="M74" s="1086" t="str">
        <f>CONCATENATE(ROUND(T74*0.09,2),"-",ROUND(T74*0.22,2))</f>
        <v>15,82-38,67</v>
      </c>
      <c r="N74" s="1090"/>
      <c r="O74" s="1086" t="str">
        <f t="shared" ref="O74:O79" si="8">CONCATENATE(ROUND(Q74*1000/L74,2),"-",ROUND(Q74*1000/D74,2))</f>
        <v>4,32-10,56</v>
      </c>
      <c r="P74" s="1087"/>
      <c r="Q74" s="490">
        <f>'Прайс опт полный '!Q75</f>
        <v>0.95</v>
      </c>
      <c r="R74" s="371" t="s">
        <v>347</v>
      </c>
      <c r="S74" s="334" t="s">
        <v>136</v>
      </c>
      <c r="T74" s="332">
        <f>V74/Q74</f>
        <v>175.79</v>
      </c>
      <c r="U74" s="491">
        <f>'Прайс опт полный '!U75</f>
        <v>144.9</v>
      </c>
      <c r="V74" s="416">
        <f t="shared" si="6"/>
        <v>167</v>
      </c>
      <c r="W74" s="390">
        <f t="shared" si="7"/>
        <v>189</v>
      </c>
    </row>
    <row r="75" spans="1:23" ht="67.5" customHeight="1">
      <c r="A75" s="1144">
        <v>20</v>
      </c>
      <c r="B75" s="1145" t="s">
        <v>366</v>
      </c>
      <c r="C75" s="1113" t="s">
        <v>144</v>
      </c>
      <c r="D75" s="382">
        <v>60</v>
      </c>
      <c r="E75" s="1130" t="s">
        <v>145</v>
      </c>
      <c r="F75" s="1130"/>
      <c r="G75" s="1130"/>
      <c r="H75" s="1130"/>
      <c r="I75" s="1130"/>
      <c r="J75" s="1130"/>
      <c r="K75" s="1130"/>
      <c r="L75" s="394">
        <v>90</v>
      </c>
      <c r="M75" s="1088" t="str">
        <f>CONCATENATE(ROUND(T75*0.06,2),"-",ROUND(T75*0.09,2))</f>
        <v>8,78-13,17</v>
      </c>
      <c r="N75" s="1091"/>
      <c r="O75" s="1088" t="str">
        <f t="shared" si="8"/>
        <v>30-45</v>
      </c>
      <c r="P75" s="1089"/>
      <c r="Q75" s="490">
        <f>'Прайс опт полный '!Q76</f>
        <v>2.7</v>
      </c>
      <c r="R75" s="387" t="s">
        <v>325</v>
      </c>
      <c r="S75" s="338" t="s">
        <v>142</v>
      </c>
      <c r="T75" s="336">
        <f>V75/Q75</f>
        <v>146.30000000000001</v>
      </c>
      <c r="U75" s="389">
        <v>343</v>
      </c>
      <c r="V75" s="416">
        <f t="shared" si="6"/>
        <v>395</v>
      </c>
      <c r="W75" s="337">
        <f t="shared" si="7"/>
        <v>446</v>
      </c>
    </row>
    <row r="76" spans="1:23" ht="57" customHeight="1">
      <c r="A76" s="1144"/>
      <c r="B76" s="1145"/>
      <c r="C76" s="1115"/>
      <c r="D76" s="382">
        <v>60</v>
      </c>
      <c r="E76" s="1130"/>
      <c r="F76" s="1130"/>
      <c r="G76" s="1130"/>
      <c r="H76" s="1130"/>
      <c r="I76" s="1130"/>
      <c r="J76" s="1130"/>
      <c r="K76" s="1130"/>
      <c r="L76" s="394">
        <v>90</v>
      </c>
      <c r="M76" s="1088" t="str">
        <f>CONCATENATE(ROUND(T76*0.09,2),"-",ROUND(T76*0.22,2))</f>
        <v>14,5-35,44</v>
      </c>
      <c r="N76" s="1091"/>
      <c r="O76" s="1088" t="str">
        <f t="shared" si="8"/>
        <v>10-15</v>
      </c>
      <c r="P76" s="1089"/>
      <c r="Q76" s="490">
        <f>'Прайс опт полный '!Q77</f>
        <v>0.9</v>
      </c>
      <c r="R76" s="387" t="s">
        <v>347</v>
      </c>
      <c r="S76" s="338" t="s">
        <v>141</v>
      </c>
      <c r="T76" s="336">
        <f>V76/Q76</f>
        <v>161.11000000000001</v>
      </c>
      <c r="U76" s="389">
        <v>126</v>
      </c>
      <c r="V76" s="416">
        <f t="shared" si="6"/>
        <v>145</v>
      </c>
      <c r="W76" s="337">
        <f t="shared" si="7"/>
        <v>164</v>
      </c>
    </row>
    <row r="77" spans="1:23" ht="19.5" customHeight="1">
      <c r="A77" s="1140">
        <v>21</v>
      </c>
      <c r="B77" s="1197" t="s">
        <v>367</v>
      </c>
      <c r="C77" s="1132" t="s">
        <v>12</v>
      </c>
      <c r="D77" s="382">
        <v>60</v>
      </c>
      <c r="E77" s="1203" t="s">
        <v>218</v>
      </c>
      <c r="F77" s="1203"/>
      <c r="G77" s="1203"/>
      <c r="H77" s="1203"/>
      <c r="I77" s="1203"/>
      <c r="J77" s="1203"/>
      <c r="K77" s="1203"/>
      <c r="L77" s="349"/>
      <c r="M77" s="1092" t="str">
        <f>CONCATENATE(ROUND(T77*0.06,2),"-",ROUND(T77*0.12,2))</f>
        <v>2,81-5,62</v>
      </c>
      <c r="N77" s="1093"/>
      <c r="O77" s="1092" t="str">
        <f>CONCATENATE(ROUND(Q78*1000/L78,2),"-",ROUND(Q78*1000/D78,2))</f>
        <v>87,5-175</v>
      </c>
      <c r="P77" s="1093"/>
      <c r="Q77" s="490">
        <f>'Прайс опт полный '!Q78</f>
        <v>0</v>
      </c>
      <c r="R77" s="1111" t="s">
        <v>325</v>
      </c>
      <c r="S77" s="1199" t="s">
        <v>131</v>
      </c>
      <c r="T77" s="1184">
        <f>V77/Q78</f>
        <v>46.86</v>
      </c>
      <c r="U77" s="1266">
        <v>427</v>
      </c>
      <c r="V77" s="1267">
        <f>ROUNDUP(U77*1.15,0)</f>
        <v>492</v>
      </c>
      <c r="W77" s="1187">
        <f>ROUNDUP(U77*1.3,0)</f>
        <v>556</v>
      </c>
    </row>
    <row r="78" spans="1:23" ht="29.25" customHeight="1">
      <c r="A78" s="1140"/>
      <c r="B78" s="1197"/>
      <c r="C78" s="1133"/>
      <c r="D78" s="382">
        <v>60</v>
      </c>
      <c r="E78" s="1138" t="s">
        <v>116</v>
      </c>
      <c r="F78" s="1138"/>
      <c r="G78" s="1138"/>
      <c r="H78" s="1138"/>
      <c r="I78" s="1138"/>
      <c r="J78" s="1138"/>
      <c r="K78" s="1138"/>
      <c r="L78" s="380">
        <v>120</v>
      </c>
      <c r="M78" s="1094"/>
      <c r="N78" s="1095"/>
      <c r="O78" s="1094"/>
      <c r="P78" s="1095"/>
      <c r="Q78" s="490">
        <f>'Прайс опт полный '!Q79</f>
        <v>10.5</v>
      </c>
      <c r="R78" s="1150"/>
      <c r="S78" s="1200"/>
      <c r="T78" s="1185"/>
      <c r="U78" s="1266"/>
      <c r="V78" s="1267"/>
      <c r="W78" s="1187"/>
    </row>
    <row r="79" spans="1:23" ht="42.75" customHeight="1">
      <c r="A79" s="1140"/>
      <c r="B79" s="1197"/>
      <c r="C79" s="1134"/>
      <c r="D79" s="382">
        <v>60</v>
      </c>
      <c r="E79" s="1138"/>
      <c r="F79" s="1138"/>
      <c r="G79" s="1138"/>
      <c r="H79" s="1138"/>
      <c r="I79" s="1138"/>
      <c r="J79" s="1138"/>
      <c r="K79" s="1138"/>
      <c r="L79" s="380">
        <v>120</v>
      </c>
      <c r="M79" s="1086" t="str">
        <f>CONCATENATE(ROUND(T79*0.09,2),"-",ROUND(T79*0.12,2))</f>
        <v>4,53-6,04</v>
      </c>
      <c r="N79" s="1090"/>
      <c r="O79" s="1086" t="str">
        <f t="shared" si="8"/>
        <v>27,5-55</v>
      </c>
      <c r="P79" s="1087"/>
      <c r="Q79" s="490">
        <f>'Прайс опт полный '!Q80</f>
        <v>3.3</v>
      </c>
      <c r="R79" s="1112"/>
      <c r="S79" s="334" t="s">
        <v>130</v>
      </c>
      <c r="T79" s="332">
        <f>V79/Q79</f>
        <v>50.3</v>
      </c>
      <c r="U79" s="389">
        <v>144</v>
      </c>
      <c r="V79" s="416">
        <f t="shared" si="6"/>
        <v>166</v>
      </c>
      <c r="W79" s="390">
        <f t="shared" si="7"/>
        <v>188</v>
      </c>
    </row>
    <row r="80" spans="1:23" ht="54.75" customHeight="1">
      <c r="A80" s="1144">
        <v>22</v>
      </c>
      <c r="B80" s="1145" t="s">
        <v>368</v>
      </c>
      <c r="C80" s="1113" t="s">
        <v>22</v>
      </c>
      <c r="D80" s="382">
        <v>120</v>
      </c>
      <c r="E80" s="1130">
        <v>120</v>
      </c>
      <c r="F80" s="1130"/>
      <c r="G80" s="1130"/>
      <c r="H80" s="1130"/>
      <c r="I80" s="1130"/>
      <c r="J80" s="1130"/>
      <c r="K80" s="1130"/>
      <c r="L80" s="394">
        <v>120</v>
      </c>
      <c r="M80" s="1088">
        <f>T80/(1000/E80)</f>
        <v>10.904400000000001</v>
      </c>
      <c r="N80" s="1091"/>
      <c r="O80" s="1088" t="str">
        <f>CONCATENATE(ROUND(Q80*1000/L80,2))</f>
        <v>125</v>
      </c>
      <c r="P80" s="1089"/>
      <c r="Q80" s="490">
        <f>'Прайс опт полный '!Q81</f>
        <v>15</v>
      </c>
      <c r="R80" s="1105" t="s">
        <v>325</v>
      </c>
      <c r="S80" s="338" t="s">
        <v>133</v>
      </c>
      <c r="T80" s="336">
        <f>V80/Q80</f>
        <v>90.87</v>
      </c>
      <c r="U80" s="389">
        <v>1185</v>
      </c>
      <c r="V80" s="416">
        <f t="shared" si="6"/>
        <v>1363</v>
      </c>
      <c r="W80" s="337">
        <f t="shared" si="7"/>
        <v>1541</v>
      </c>
    </row>
    <row r="81" spans="1:23" ht="64.5" customHeight="1">
      <c r="A81" s="1144"/>
      <c r="B81" s="1145"/>
      <c r="C81" s="1115"/>
      <c r="D81" s="384">
        <v>120</v>
      </c>
      <c r="E81" s="1130"/>
      <c r="F81" s="1130"/>
      <c r="G81" s="1130"/>
      <c r="H81" s="1130"/>
      <c r="I81" s="1130"/>
      <c r="J81" s="1130"/>
      <c r="K81" s="1130"/>
      <c r="L81" s="394">
        <v>120</v>
      </c>
      <c r="M81" s="1096">
        <f>T81/(1000/120)</f>
        <v>11.71</v>
      </c>
      <c r="N81" s="1097"/>
      <c r="O81" s="1088" t="str">
        <f t="shared" ref="O81" si="9">CONCATENATE(ROUND(Q81*1000/L81,2))</f>
        <v>37,5</v>
      </c>
      <c r="P81" s="1089"/>
      <c r="Q81" s="490">
        <f>'Прайс опт полный '!Q82</f>
        <v>4.5</v>
      </c>
      <c r="R81" s="1107"/>
      <c r="S81" s="338" t="s">
        <v>132</v>
      </c>
      <c r="T81" s="336">
        <f>V81/Q81</f>
        <v>97.56</v>
      </c>
      <c r="U81" s="389">
        <v>381</v>
      </c>
      <c r="V81" s="416">
        <f t="shared" si="6"/>
        <v>439</v>
      </c>
      <c r="W81" s="337">
        <f t="shared" si="7"/>
        <v>496</v>
      </c>
    </row>
    <row r="82" spans="1:23" ht="43.5" customHeight="1">
      <c r="A82" s="1111">
        <v>23</v>
      </c>
      <c r="B82" s="1197" t="s">
        <v>369</v>
      </c>
      <c r="C82" s="1132" t="s">
        <v>22</v>
      </c>
      <c r="D82" s="373">
        <v>120</v>
      </c>
      <c r="E82" s="1138">
        <v>120</v>
      </c>
      <c r="F82" s="1138"/>
      <c r="G82" s="1138"/>
      <c r="H82" s="1138"/>
      <c r="I82" s="1138"/>
      <c r="J82" s="1138"/>
      <c r="K82" s="1138"/>
      <c r="L82" s="404">
        <v>120</v>
      </c>
      <c r="M82" s="1082">
        <f>T82/(1000/120)</f>
        <v>14.69</v>
      </c>
      <c r="N82" s="1083"/>
      <c r="O82" s="1086" t="str">
        <f>CONCATENATE(ROUND(Q82*1000/L82,2))</f>
        <v>91,67</v>
      </c>
      <c r="P82" s="1087"/>
      <c r="Q82" s="490">
        <f>'Прайс опт полный '!Q83</f>
        <v>11</v>
      </c>
      <c r="R82" s="1111" t="s">
        <v>325</v>
      </c>
      <c r="S82" s="334" t="s">
        <v>135</v>
      </c>
      <c r="T82" s="332">
        <f>V82/Q82</f>
        <v>122.45</v>
      </c>
      <c r="U82" s="389">
        <v>1171</v>
      </c>
      <c r="V82" s="416">
        <f t="shared" si="6"/>
        <v>1347</v>
      </c>
      <c r="W82" s="390">
        <f t="shared" si="7"/>
        <v>1523</v>
      </c>
    </row>
    <row r="83" spans="1:23" ht="69" customHeight="1">
      <c r="A83" s="1112"/>
      <c r="B83" s="1197"/>
      <c r="C83" s="1134"/>
      <c r="D83" s="375">
        <v>120</v>
      </c>
      <c r="E83" s="1138"/>
      <c r="F83" s="1138"/>
      <c r="G83" s="1138"/>
      <c r="H83" s="1138"/>
      <c r="I83" s="1138"/>
      <c r="J83" s="1138"/>
      <c r="K83" s="1138"/>
      <c r="L83" s="404">
        <v>120</v>
      </c>
      <c r="M83" s="1082">
        <f>T83/(1000/120)</f>
        <v>15.78</v>
      </c>
      <c r="N83" s="1083"/>
      <c r="O83" s="1086" t="str">
        <f>CONCATENATE(ROUND(Q83*1000/L83,2))</f>
        <v>28,33</v>
      </c>
      <c r="P83" s="1087"/>
      <c r="Q83" s="490">
        <f>'Прайс опт полный '!Q84</f>
        <v>3.4</v>
      </c>
      <c r="R83" s="1112"/>
      <c r="S83" s="351" t="s">
        <v>134</v>
      </c>
      <c r="T83" s="352">
        <f>V83/Q83</f>
        <v>131.47</v>
      </c>
      <c r="U83" s="389">
        <v>388</v>
      </c>
      <c r="V83" s="416">
        <f>ROUNDUP(U83*1.15,0)</f>
        <v>447</v>
      </c>
      <c r="W83" s="390">
        <f t="shared" si="7"/>
        <v>505</v>
      </c>
    </row>
  </sheetData>
  <mergeCells count="242">
    <mergeCell ref="M83:N83"/>
    <mergeCell ref="O83:P83"/>
    <mergeCell ref="R80:R81"/>
    <mergeCell ref="M81:N81"/>
    <mergeCell ref="O81:P81"/>
    <mergeCell ref="A82:A83"/>
    <mergeCell ref="B82:B83"/>
    <mergeCell ref="C82:C83"/>
    <mergeCell ref="E82:K83"/>
    <mergeCell ref="M82:N82"/>
    <mergeCell ref="O82:P82"/>
    <mergeCell ref="R82:R83"/>
    <mergeCell ref="A80:A81"/>
    <mergeCell ref="B80:B81"/>
    <mergeCell ref="C80:C81"/>
    <mergeCell ref="E80:K81"/>
    <mergeCell ref="M80:N80"/>
    <mergeCell ref="O80:P80"/>
    <mergeCell ref="S77:S78"/>
    <mergeCell ref="T77:T78"/>
    <mergeCell ref="U77:U78"/>
    <mergeCell ref="V77:V78"/>
    <mergeCell ref="W77:W78"/>
    <mergeCell ref="A77:A79"/>
    <mergeCell ref="B77:B79"/>
    <mergeCell ref="C77:C79"/>
    <mergeCell ref="E77:K77"/>
    <mergeCell ref="M77:N78"/>
    <mergeCell ref="O77:P78"/>
    <mergeCell ref="E78:K79"/>
    <mergeCell ref="M79:N79"/>
    <mergeCell ref="O79:P79"/>
    <mergeCell ref="A75:A76"/>
    <mergeCell ref="B75:B76"/>
    <mergeCell ref="C75:C76"/>
    <mergeCell ref="E75:K76"/>
    <mergeCell ref="M75:N75"/>
    <mergeCell ref="O75:P75"/>
    <mergeCell ref="M76:N76"/>
    <mergeCell ref="O76:P76"/>
    <mergeCell ref="R77:R79"/>
    <mergeCell ref="E69:K69"/>
    <mergeCell ref="M69:P69"/>
    <mergeCell ref="A70:W70"/>
    <mergeCell ref="A71:A74"/>
    <mergeCell ref="B71:B74"/>
    <mergeCell ref="C71:C74"/>
    <mergeCell ref="E71:K71"/>
    <mergeCell ref="M71:N71"/>
    <mergeCell ref="O71:P71"/>
    <mergeCell ref="R71:R73"/>
    <mergeCell ref="S71:S72"/>
    <mergeCell ref="T71:T72"/>
    <mergeCell ref="U71:U72"/>
    <mergeCell ref="V71:V72"/>
    <mergeCell ref="W71:W72"/>
    <mergeCell ref="E72:K74"/>
    <mergeCell ref="M72:N72"/>
    <mergeCell ref="O72:P72"/>
    <mergeCell ref="M73:N73"/>
    <mergeCell ref="O73:P73"/>
    <mergeCell ref="M74:N74"/>
    <mergeCell ref="O74:P74"/>
    <mergeCell ref="T66:T68"/>
    <mergeCell ref="U66:U68"/>
    <mergeCell ref="V66:V68"/>
    <mergeCell ref="W66:W68"/>
    <mergeCell ref="E67:K67"/>
    <mergeCell ref="M67:P67"/>
    <mergeCell ref="E68:K68"/>
    <mergeCell ref="M68:P68"/>
    <mergeCell ref="T63:T65"/>
    <mergeCell ref="U63:U65"/>
    <mergeCell ref="V63:V65"/>
    <mergeCell ref="W63:W65"/>
    <mergeCell ref="E64:K64"/>
    <mergeCell ref="M64:P64"/>
    <mergeCell ref="E65:K65"/>
    <mergeCell ref="M65:P65"/>
    <mergeCell ref="A63:A68"/>
    <mergeCell ref="B63:B68"/>
    <mergeCell ref="E63:K63"/>
    <mergeCell ref="M63:P63"/>
    <mergeCell ref="R63:R65"/>
    <mergeCell ref="S63:S65"/>
    <mergeCell ref="E66:K66"/>
    <mergeCell ref="M66:P66"/>
    <mergeCell ref="R66:R68"/>
    <mergeCell ref="S66:S68"/>
    <mergeCell ref="A59:A62"/>
    <mergeCell ref="B59:B62"/>
    <mergeCell ref="C59:C62"/>
    <mergeCell ref="E59:K62"/>
    <mergeCell ref="M59:P59"/>
    <mergeCell ref="R59:R60"/>
    <mergeCell ref="M60:P60"/>
    <mergeCell ref="M61:P62"/>
    <mergeCell ref="R61:R62"/>
    <mergeCell ref="A55:A58"/>
    <mergeCell ref="B55:B58"/>
    <mergeCell ref="C55:C58"/>
    <mergeCell ref="E55:K58"/>
    <mergeCell ref="M55:P55"/>
    <mergeCell ref="R55:R56"/>
    <mergeCell ref="M56:P56"/>
    <mergeCell ref="M57:P58"/>
    <mergeCell ref="R57:R58"/>
    <mergeCell ref="A51:A54"/>
    <mergeCell ref="B51:B54"/>
    <mergeCell ref="C51:C54"/>
    <mergeCell ref="E51:K54"/>
    <mergeCell ref="M51:P51"/>
    <mergeCell ref="R51:R52"/>
    <mergeCell ref="M52:P52"/>
    <mergeCell ref="M53:P54"/>
    <mergeCell ref="R53:R54"/>
    <mergeCell ref="A46:W46"/>
    <mergeCell ref="A47:A50"/>
    <mergeCell ref="B47:B50"/>
    <mergeCell ref="C47:C50"/>
    <mergeCell ref="E47:K50"/>
    <mergeCell ref="M47:P47"/>
    <mergeCell ref="R47:R48"/>
    <mergeCell ref="M48:P48"/>
    <mergeCell ref="M49:P50"/>
    <mergeCell ref="R49:R50"/>
    <mergeCell ref="E43:K43"/>
    <mergeCell ref="M43:P43"/>
    <mergeCell ref="E44:K44"/>
    <mergeCell ref="M44:P44"/>
    <mergeCell ref="E45:K45"/>
    <mergeCell ref="M45:P45"/>
    <mergeCell ref="R38:R39"/>
    <mergeCell ref="M39:P39"/>
    <mergeCell ref="A40:A42"/>
    <mergeCell ref="B40:B42"/>
    <mergeCell ref="C40:C42"/>
    <mergeCell ref="E40:K42"/>
    <mergeCell ref="M40:P40"/>
    <mergeCell ref="M41:P41"/>
    <mergeCell ref="R41:R42"/>
    <mergeCell ref="M42:P42"/>
    <mergeCell ref="M36:P36"/>
    <mergeCell ref="A37:A39"/>
    <mergeCell ref="B37:B39"/>
    <mergeCell ref="C37:C39"/>
    <mergeCell ref="E37:K39"/>
    <mergeCell ref="M37:P37"/>
    <mergeCell ref="M38:P38"/>
    <mergeCell ref="M32:P32"/>
    <mergeCell ref="R32:R33"/>
    <mergeCell ref="M33:P33"/>
    <mergeCell ref="A34:A36"/>
    <mergeCell ref="B34:B36"/>
    <mergeCell ref="C34:C36"/>
    <mergeCell ref="E34:K36"/>
    <mergeCell ref="M34:P34"/>
    <mergeCell ref="M35:P35"/>
    <mergeCell ref="R35:R36"/>
    <mergeCell ref="P27:P30"/>
    <mergeCell ref="R27:R28"/>
    <mergeCell ref="G28:G30"/>
    <mergeCell ref="I28:I30"/>
    <mergeCell ref="R29:R30"/>
    <mergeCell ref="A31:A33"/>
    <mergeCell ref="B31:B33"/>
    <mergeCell ref="C31:C33"/>
    <mergeCell ref="E31:K33"/>
    <mergeCell ref="M31:P31"/>
    <mergeCell ref="A27:A30"/>
    <mergeCell ref="B27:B30"/>
    <mergeCell ref="C27:C30"/>
    <mergeCell ref="E27:E30"/>
    <mergeCell ref="K27:K30"/>
    <mergeCell ref="M27:M30"/>
    <mergeCell ref="K21:K25"/>
    <mergeCell ref="R21:R22"/>
    <mergeCell ref="M23:M25"/>
    <mergeCell ref="N23:N25"/>
    <mergeCell ref="O23:O25"/>
    <mergeCell ref="P23:P25"/>
    <mergeCell ref="R23:R25"/>
    <mergeCell ref="A21:A25"/>
    <mergeCell ref="B21:B25"/>
    <mergeCell ref="C21:C25"/>
    <mergeCell ref="E21:E25"/>
    <mergeCell ref="G21:G25"/>
    <mergeCell ref="I21:I25"/>
    <mergeCell ref="K16:K20"/>
    <mergeCell ref="R16:R17"/>
    <mergeCell ref="M18:M20"/>
    <mergeCell ref="N18:N20"/>
    <mergeCell ref="O18:O20"/>
    <mergeCell ref="P18:P20"/>
    <mergeCell ref="R18:R20"/>
    <mergeCell ref="A16:A20"/>
    <mergeCell ref="B16:B20"/>
    <mergeCell ref="C16:C20"/>
    <mergeCell ref="E16:E20"/>
    <mergeCell ref="G16:G20"/>
    <mergeCell ref="I16:I20"/>
    <mergeCell ref="K11:K15"/>
    <mergeCell ref="R11:R12"/>
    <mergeCell ref="M13:M15"/>
    <mergeCell ref="N13:N15"/>
    <mergeCell ref="O13:O15"/>
    <mergeCell ref="P13:P15"/>
    <mergeCell ref="R13:R15"/>
    <mergeCell ref="A11:A15"/>
    <mergeCell ref="B11:B15"/>
    <mergeCell ref="C11:C15"/>
    <mergeCell ref="E11:E15"/>
    <mergeCell ref="G11:G15"/>
    <mergeCell ref="I11:I15"/>
    <mergeCell ref="A5:W5"/>
    <mergeCell ref="A6:A10"/>
    <mergeCell ref="B6:B10"/>
    <mergeCell ref="C6:C10"/>
    <mergeCell ref="E6:E10"/>
    <mergeCell ref="G6:G10"/>
    <mergeCell ref="I6:I10"/>
    <mergeCell ref="K6:K10"/>
    <mergeCell ref="R6:R7"/>
    <mergeCell ref="M8:M10"/>
    <mergeCell ref="N8:N10"/>
    <mergeCell ref="O8:O10"/>
    <mergeCell ref="P8:P10"/>
    <mergeCell ref="R8:R10"/>
    <mergeCell ref="C1:M1"/>
    <mergeCell ref="Q1:T1"/>
    <mergeCell ref="A2:W2"/>
    <mergeCell ref="A3:A4"/>
    <mergeCell ref="B3:B4"/>
    <mergeCell ref="C3:C4"/>
    <mergeCell ref="E3:K3"/>
    <mergeCell ref="M3:P3"/>
    <mergeCell ref="R3:R4"/>
    <mergeCell ref="S3:S4"/>
    <mergeCell ref="U3:U4"/>
    <mergeCell ref="V3:V4"/>
    <mergeCell ref="W3:W4"/>
    <mergeCell ref="T3:T4"/>
  </mergeCells>
  <pageMargins left="0.27559055118110237" right="0.27559055118110237" top="0.27559055118110237" bottom="0.31496062992125984" header="0.31496062992125984" footer="0.31496062992125984"/>
  <pageSetup paperSize="9" scale="2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83"/>
  <sheetViews>
    <sheetView topLeftCell="E7" zoomScale="80" zoomScaleNormal="80" workbookViewId="0">
      <selection activeCell="U25" sqref="U25"/>
    </sheetView>
  </sheetViews>
  <sheetFormatPr defaultRowHeight="12.75"/>
  <cols>
    <col min="1" max="1" width="5.42578125" customWidth="1"/>
    <col min="2" max="2" width="93.28515625" customWidth="1"/>
    <col min="3" max="3" width="60.7109375" customWidth="1"/>
    <col min="4" max="4" width="4.85546875" customWidth="1"/>
    <col min="5" max="16" width="9.140625" customWidth="1"/>
    <col min="17" max="17" width="6.5703125" customWidth="1"/>
    <col min="18" max="18" width="11.42578125" customWidth="1"/>
    <col min="19" max="19" width="12.5703125" customWidth="1"/>
    <col min="20" max="20" width="14.5703125" customWidth="1"/>
    <col min="21" max="21" width="21.7109375" customWidth="1"/>
    <col min="22" max="22" width="15.7109375" customWidth="1"/>
    <col min="23" max="23" width="11" hidden="1" customWidth="1"/>
    <col min="24" max="24" width="19.85546875" customWidth="1"/>
  </cols>
  <sheetData>
    <row r="1" spans="1:24" ht="96" customHeight="1">
      <c r="C1" s="1255" t="s">
        <v>217</v>
      </c>
      <c r="D1" s="1255"/>
      <c r="E1" s="1255"/>
      <c r="F1" s="1255"/>
      <c r="G1" s="1255"/>
      <c r="H1" s="1255"/>
      <c r="I1" s="1255"/>
      <c r="J1" s="1255"/>
      <c r="K1" s="1255"/>
      <c r="L1" s="1255"/>
      <c r="M1" s="1255"/>
      <c r="Q1" s="939"/>
      <c r="R1" s="939"/>
      <c r="S1" s="939"/>
      <c r="T1" s="939"/>
    </row>
    <row r="2" spans="1:24" ht="33.75" customHeight="1">
      <c r="A2" s="938" t="s">
        <v>383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  <c r="L2" s="938"/>
      <c r="M2" s="938"/>
      <c r="N2" s="938"/>
      <c r="O2" s="938"/>
      <c r="P2" s="938"/>
      <c r="Q2" s="938"/>
      <c r="R2" s="938"/>
      <c r="S2" s="938"/>
      <c r="T2" s="938"/>
      <c r="U2" s="938"/>
      <c r="V2" s="938"/>
      <c r="W2" s="938"/>
      <c r="X2" s="938"/>
    </row>
    <row r="3" spans="1:24" ht="45.75" customHeight="1">
      <c r="A3" s="1119" t="s">
        <v>0</v>
      </c>
      <c r="B3" s="1121" t="s">
        <v>55</v>
      </c>
      <c r="C3" s="1121" t="s">
        <v>335</v>
      </c>
      <c r="D3" s="353"/>
      <c r="E3" s="1135" t="s">
        <v>218</v>
      </c>
      <c r="F3" s="1136"/>
      <c r="G3" s="1136"/>
      <c r="H3" s="1136"/>
      <c r="I3" s="1136"/>
      <c r="J3" s="1136"/>
      <c r="K3" s="1137"/>
      <c r="L3" s="458"/>
      <c r="M3" s="1143" t="s">
        <v>326</v>
      </c>
      <c r="N3" s="1143"/>
      <c r="O3" s="1143"/>
      <c r="P3" s="1143"/>
      <c r="Q3" s="354"/>
      <c r="R3" s="1123" t="s">
        <v>323</v>
      </c>
      <c r="S3" s="1123" t="s">
        <v>288</v>
      </c>
      <c r="T3" s="1123" t="s">
        <v>256</v>
      </c>
      <c r="U3" s="1125" t="s">
        <v>264</v>
      </c>
      <c r="V3" s="1123" t="s">
        <v>256</v>
      </c>
      <c r="W3" s="1141" t="s">
        <v>251</v>
      </c>
      <c r="X3" s="1141" t="s">
        <v>252</v>
      </c>
    </row>
    <row r="4" spans="1:24" ht="71.25" customHeight="1">
      <c r="A4" s="1120"/>
      <c r="B4" s="1122"/>
      <c r="C4" s="1122"/>
      <c r="D4" s="355"/>
      <c r="E4" s="449" t="s">
        <v>2</v>
      </c>
      <c r="F4" s="449"/>
      <c r="G4" s="449" t="s">
        <v>330</v>
      </c>
      <c r="H4" s="449"/>
      <c r="I4" s="449" t="s">
        <v>331</v>
      </c>
      <c r="J4" s="449"/>
      <c r="K4" s="449" t="s">
        <v>166</v>
      </c>
      <c r="L4" s="449"/>
      <c r="M4" s="356" t="s">
        <v>2</v>
      </c>
      <c r="N4" s="356" t="s">
        <v>327</v>
      </c>
      <c r="O4" s="356" t="s">
        <v>328</v>
      </c>
      <c r="P4" s="356" t="s">
        <v>329</v>
      </c>
      <c r="Q4" s="449"/>
      <c r="R4" s="1124"/>
      <c r="S4" s="1124"/>
      <c r="T4" s="1124"/>
      <c r="U4" s="1126"/>
      <c r="V4" s="1124"/>
      <c r="W4" s="1142"/>
      <c r="X4" s="1142"/>
    </row>
    <row r="5" spans="1:24" ht="27.75" customHeight="1">
      <c r="A5" s="1139" t="s">
        <v>25</v>
      </c>
      <c r="B5" s="1139"/>
      <c r="C5" s="1139"/>
      <c r="D5" s="1139"/>
      <c r="E5" s="1139"/>
      <c r="F5" s="1139"/>
      <c r="G5" s="1139"/>
      <c r="H5" s="1139"/>
      <c r="I5" s="1139"/>
      <c r="J5" s="1139"/>
      <c r="K5" s="1139"/>
      <c r="L5" s="1139"/>
      <c r="M5" s="1139"/>
      <c r="N5" s="1139"/>
      <c r="O5" s="1139"/>
      <c r="P5" s="1139"/>
      <c r="Q5" s="1139"/>
      <c r="R5" s="1139"/>
      <c r="S5" s="1139"/>
      <c r="T5" s="1139"/>
      <c r="U5" s="1139"/>
      <c r="V5" s="1139"/>
      <c r="W5" s="1139"/>
      <c r="X5" s="1139"/>
    </row>
    <row r="6" spans="1:24" ht="22.5" customHeight="1">
      <c r="A6" s="1140">
        <v>1</v>
      </c>
      <c r="B6" s="1146" t="s">
        <v>355</v>
      </c>
      <c r="C6" s="1132" t="s">
        <v>370</v>
      </c>
      <c r="D6" s="446">
        <v>200</v>
      </c>
      <c r="E6" s="1138">
        <v>200</v>
      </c>
      <c r="F6" s="440">
        <v>200</v>
      </c>
      <c r="G6" s="1138" t="s">
        <v>332</v>
      </c>
      <c r="H6" s="446">
        <v>200</v>
      </c>
      <c r="I6" s="1132">
        <v>200</v>
      </c>
      <c r="J6" s="446"/>
      <c r="K6" s="1138" t="s">
        <v>15</v>
      </c>
      <c r="L6" s="440"/>
      <c r="M6" s="331">
        <f>T6/(1000/E6)</f>
        <v>34.22</v>
      </c>
      <c r="N6" s="331">
        <f>T6/(1000/F6)</f>
        <v>34.22</v>
      </c>
      <c r="O6" s="331">
        <f>T6/(1000/H6)</f>
        <v>34.22</v>
      </c>
      <c r="P6" s="331" t="s">
        <v>15</v>
      </c>
      <c r="Q6" s="438">
        <f>'Прайс опт полный '!Q7</f>
        <v>46</v>
      </c>
      <c r="R6" s="1111" t="s">
        <v>324</v>
      </c>
      <c r="S6" s="438" t="s">
        <v>219</v>
      </c>
      <c r="T6" s="332">
        <f>W6/Q6</f>
        <v>171.09</v>
      </c>
      <c r="U6" s="333">
        <f>'Прайс опт полный '!U7</f>
        <v>6843</v>
      </c>
      <c r="V6" s="333">
        <f>X6/Q6</f>
        <v>193.39</v>
      </c>
      <c r="W6" s="459">
        <f>ROUNDUP(U6*1.15,0)</f>
        <v>7870</v>
      </c>
      <c r="X6" s="456">
        <f>ROUNDUP(U6*1.3,0)</f>
        <v>8896</v>
      </c>
    </row>
    <row r="7" spans="1:24" ht="19.5" customHeight="1">
      <c r="A7" s="1140"/>
      <c r="B7" s="1146"/>
      <c r="C7" s="1133"/>
      <c r="D7" s="447">
        <v>200</v>
      </c>
      <c r="E7" s="1138"/>
      <c r="F7" s="440">
        <v>200</v>
      </c>
      <c r="G7" s="1138"/>
      <c r="H7" s="447">
        <v>200</v>
      </c>
      <c r="I7" s="1133"/>
      <c r="J7" s="447"/>
      <c r="K7" s="1138"/>
      <c r="L7" s="440"/>
      <c r="M7" s="331">
        <f>T7/(1000/E6)</f>
        <v>31.25</v>
      </c>
      <c r="N7" s="331">
        <f>T7/(1000/F7)</f>
        <v>31.25</v>
      </c>
      <c r="O7" s="331">
        <f>T7/(1000/H7)</f>
        <v>31.25</v>
      </c>
      <c r="P7" s="331" t="s">
        <v>15</v>
      </c>
      <c r="Q7" s="490">
        <f>'Прайс опт полный '!Q8</f>
        <v>22</v>
      </c>
      <c r="R7" s="1112"/>
      <c r="S7" s="334" t="str">
        <f>'[1]прайс быт.'!I10</f>
        <v>22 кг</v>
      </c>
      <c r="T7" s="332">
        <f>W7/Q7</f>
        <v>156.22999999999999</v>
      </c>
      <c r="U7" s="457">
        <f>'[1]прайс быт.'!K10</f>
        <v>2988</v>
      </c>
      <c r="V7" s="333">
        <f t="shared" ref="V7:V66" si="0">X7/Q7</f>
        <v>176.59</v>
      </c>
      <c r="W7" s="459">
        <f t="shared" ref="W7:W69" si="1">ROUNDUP(U7*1.15,0)</f>
        <v>3437</v>
      </c>
      <c r="X7" s="456">
        <f>ROUNDUP(U7*1.3,0)</f>
        <v>3885</v>
      </c>
    </row>
    <row r="8" spans="1:24" ht="29.25" customHeight="1">
      <c r="A8" s="1140"/>
      <c r="B8" s="1146"/>
      <c r="C8" s="1133"/>
      <c r="D8" s="447"/>
      <c r="E8" s="1138"/>
      <c r="F8" s="440"/>
      <c r="G8" s="1138"/>
      <c r="H8" s="447"/>
      <c r="I8" s="1133"/>
      <c r="J8" s="447"/>
      <c r="K8" s="1138"/>
      <c r="L8" s="446"/>
      <c r="M8" s="1147" t="s">
        <v>15</v>
      </c>
      <c r="N8" s="1147" t="s">
        <v>15</v>
      </c>
      <c r="O8" s="1147" t="s">
        <v>15</v>
      </c>
      <c r="P8" s="1147" t="s">
        <v>15</v>
      </c>
      <c r="Q8" s="490">
        <f>'Прайс опт полный '!Q9</f>
        <v>10</v>
      </c>
      <c r="R8" s="1111" t="s">
        <v>325</v>
      </c>
      <c r="S8" s="334" t="str">
        <f>'[1]прайс быт.'!I11</f>
        <v>10 кг</v>
      </c>
      <c r="T8" s="332">
        <f t="shared" ref="T8:T44" si="2">W8/Q8</f>
        <v>168.3</v>
      </c>
      <c r="U8" s="457">
        <f>'[1]прайс быт.'!K11</f>
        <v>1463</v>
      </c>
      <c r="V8" s="333">
        <f t="shared" si="0"/>
        <v>190.2</v>
      </c>
      <c r="W8" s="459">
        <f t="shared" si="1"/>
        <v>1683</v>
      </c>
      <c r="X8" s="456">
        <f>ROUNDUP(U8*1.3,0)</f>
        <v>1902</v>
      </c>
    </row>
    <row r="9" spans="1:24" ht="25.5" customHeight="1">
      <c r="A9" s="1140"/>
      <c r="B9" s="1146"/>
      <c r="C9" s="1133"/>
      <c r="D9" s="447"/>
      <c r="E9" s="1138"/>
      <c r="F9" s="440"/>
      <c r="G9" s="1138"/>
      <c r="H9" s="447"/>
      <c r="I9" s="1133"/>
      <c r="J9" s="447"/>
      <c r="K9" s="1138"/>
      <c r="L9" s="447"/>
      <c r="M9" s="1148"/>
      <c r="N9" s="1148"/>
      <c r="O9" s="1148"/>
      <c r="P9" s="1148"/>
      <c r="Q9" s="490">
        <f>'Прайс опт полный '!Q10</f>
        <v>3.2</v>
      </c>
      <c r="R9" s="1150"/>
      <c r="S9" s="334" t="str">
        <f>'[1]прайс быт.'!I12</f>
        <v>3,2 кг</v>
      </c>
      <c r="T9" s="332">
        <f t="shared" si="2"/>
        <v>176.88</v>
      </c>
      <c r="U9" s="457">
        <f>'[1]прайс быт.'!K12</f>
        <v>492</v>
      </c>
      <c r="V9" s="333">
        <f t="shared" si="0"/>
        <v>200</v>
      </c>
      <c r="W9" s="459">
        <f t="shared" si="1"/>
        <v>566</v>
      </c>
      <c r="X9" s="456">
        <f t="shared" ref="X9:X35" si="3">ROUNDUP(U9*1.3,0)</f>
        <v>640</v>
      </c>
    </row>
    <row r="10" spans="1:24" ht="28.5" customHeight="1">
      <c r="A10" s="1140"/>
      <c r="B10" s="1146"/>
      <c r="C10" s="1134"/>
      <c r="D10" s="448"/>
      <c r="E10" s="1138"/>
      <c r="F10" s="440"/>
      <c r="G10" s="1138"/>
      <c r="H10" s="448"/>
      <c r="I10" s="1134"/>
      <c r="J10" s="448"/>
      <c r="K10" s="1138"/>
      <c r="L10" s="448"/>
      <c r="M10" s="1149"/>
      <c r="N10" s="1149"/>
      <c r="O10" s="1149"/>
      <c r="P10" s="1149"/>
      <c r="Q10" s="490">
        <f>'Прайс опт полный '!Q11</f>
        <v>1</v>
      </c>
      <c r="R10" s="1112"/>
      <c r="S10" s="334" t="str">
        <f>'[1]прайс быт.'!I13</f>
        <v>1 кг</v>
      </c>
      <c r="T10" s="332">
        <f t="shared" si="2"/>
        <v>187</v>
      </c>
      <c r="U10" s="457">
        <f>'[1]прайс быт.'!K13</f>
        <v>162</v>
      </c>
      <c r="V10" s="333">
        <f t="shared" si="0"/>
        <v>211</v>
      </c>
      <c r="W10" s="459">
        <f t="shared" si="1"/>
        <v>187</v>
      </c>
      <c r="X10" s="456">
        <f t="shared" si="3"/>
        <v>211</v>
      </c>
    </row>
    <row r="11" spans="1:24" ht="23.25" customHeight="1">
      <c r="A11" s="1144">
        <v>2</v>
      </c>
      <c r="B11" s="1145" t="s">
        <v>356</v>
      </c>
      <c r="C11" s="1113" t="s">
        <v>333</v>
      </c>
      <c r="D11" s="443">
        <v>100</v>
      </c>
      <c r="E11" s="1130">
        <v>100</v>
      </c>
      <c r="F11" s="451">
        <v>280</v>
      </c>
      <c r="G11" s="1130">
        <v>280</v>
      </c>
      <c r="H11" s="443">
        <v>180</v>
      </c>
      <c r="I11" s="1113">
        <v>180</v>
      </c>
      <c r="J11" s="443">
        <v>400</v>
      </c>
      <c r="K11" s="1130">
        <v>400</v>
      </c>
      <c r="L11" s="451"/>
      <c r="M11" s="335">
        <f>T11/(1000/D11)</f>
        <v>14.95</v>
      </c>
      <c r="N11" s="335">
        <f>T11/(1000/F11)</f>
        <v>41.86</v>
      </c>
      <c r="O11" s="335">
        <f>T11/(1000/H11)</f>
        <v>26.91</v>
      </c>
      <c r="P11" s="335">
        <f>T11/(1000/J11)</f>
        <v>59.8</v>
      </c>
      <c r="Q11" s="490">
        <f>'Прайс опт полный '!Q12</f>
        <v>50</v>
      </c>
      <c r="R11" s="1105" t="s">
        <v>324</v>
      </c>
      <c r="S11" s="441" t="s">
        <v>221</v>
      </c>
      <c r="T11" s="336">
        <f t="shared" si="2"/>
        <v>149.5</v>
      </c>
      <c r="U11" s="333">
        <f>'[1]Прайс пром.'!N8</f>
        <v>6500</v>
      </c>
      <c r="V11" s="333">
        <f t="shared" si="0"/>
        <v>169</v>
      </c>
      <c r="W11" s="459">
        <f t="shared" si="1"/>
        <v>7475</v>
      </c>
      <c r="X11" s="337">
        <f t="shared" si="3"/>
        <v>8450</v>
      </c>
    </row>
    <row r="12" spans="1:24" ht="24.75" customHeight="1">
      <c r="A12" s="1144"/>
      <c r="B12" s="1145"/>
      <c r="C12" s="1114"/>
      <c r="D12" s="444">
        <v>100</v>
      </c>
      <c r="E12" s="1130"/>
      <c r="F12" s="451">
        <v>280</v>
      </c>
      <c r="G12" s="1130"/>
      <c r="H12" s="444">
        <v>180</v>
      </c>
      <c r="I12" s="1114"/>
      <c r="J12" s="444">
        <v>400</v>
      </c>
      <c r="K12" s="1130"/>
      <c r="L12" s="451"/>
      <c r="M12" s="335">
        <f>T12/(1000/D12)</f>
        <v>16</v>
      </c>
      <c r="N12" s="335">
        <f>T12/(1000/F12)</f>
        <v>44.8</v>
      </c>
      <c r="O12" s="335">
        <f>T12/(1000/H12)</f>
        <v>28.8</v>
      </c>
      <c r="P12" s="335">
        <f>T12/(1000/J12)</f>
        <v>64</v>
      </c>
      <c r="Q12" s="490">
        <f>'Прайс опт полный '!Q13</f>
        <v>26</v>
      </c>
      <c r="R12" s="1107"/>
      <c r="S12" s="338" t="str">
        <f>'[1]прайс быт.'!I14</f>
        <v>26 кг</v>
      </c>
      <c r="T12" s="336">
        <f t="shared" si="2"/>
        <v>160</v>
      </c>
      <c r="U12" s="457">
        <v>3617</v>
      </c>
      <c r="V12" s="333">
        <f t="shared" si="0"/>
        <v>180.88</v>
      </c>
      <c r="W12" s="459">
        <f t="shared" si="1"/>
        <v>4160</v>
      </c>
      <c r="X12" s="337">
        <f t="shared" si="3"/>
        <v>4703</v>
      </c>
    </row>
    <row r="13" spans="1:24" ht="25.5" customHeight="1">
      <c r="A13" s="1144"/>
      <c r="B13" s="1145"/>
      <c r="C13" s="1114"/>
      <c r="D13" s="444"/>
      <c r="E13" s="1130"/>
      <c r="F13" s="451"/>
      <c r="G13" s="1130"/>
      <c r="H13" s="444"/>
      <c r="I13" s="1114"/>
      <c r="J13" s="444"/>
      <c r="K13" s="1130"/>
      <c r="L13" s="443"/>
      <c r="M13" s="1108" t="s">
        <v>15</v>
      </c>
      <c r="N13" s="1108" t="s">
        <v>15</v>
      </c>
      <c r="O13" s="1108" t="s">
        <v>15</v>
      </c>
      <c r="P13" s="1108" t="s">
        <v>15</v>
      </c>
      <c r="Q13" s="490">
        <f>'Прайс опт полный '!Q14</f>
        <v>11</v>
      </c>
      <c r="R13" s="1105" t="s">
        <v>325</v>
      </c>
      <c r="S13" s="338" t="str">
        <f>'[1]прайс быт.'!I15</f>
        <v>11 кг</v>
      </c>
      <c r="T13" s="336">
        <f t="shared" si="2"/>
        <v>168.91</v>
      </c>
      <c r="U13" s="457">
        <v>1615</v>
      </c>
      <c r="V13" s="333">
        <f>X13/Q13</f>
        <v>190.91</v>
      </c>
      <c r="W13" s="459">
        <f t="shared" si="1"/>
        <v>1858</v>
      </c>
      <c r="X13" s="337">
        <f t="shared" si="3"/>
        <v>2100</v>
      </c>
    </row>
    <row r="14" spans="1:24" ht="24.75" customHeight="1">
      <c r="A14" s="1144"/>
      <c r="B14" s="1145"/>
      <c r="C14" s="1114"/>
      <c r="D14" s="444"/>
      <c r="E14" s="1130"/>
      <c r="F14" s="451"/>
      <c r="G14" s="1130"/>
      <c r="H14" s="444"/>
      <c r="I14" s="1114"/>
      <c r="J14" s="444"/>
      <c r="K14" s="1130"/>
      <c r="L14" s="444"/>
      <c r="M14" s="1109"/>
      <c r="N14" s="1109"/>
      <c r="O14" s="1109"/>
      <c r="P14" s="1109"/>
      <c r="Q14" s="490">
        <f>'Прайс опт полный '!Q15</f>
        <v>3.2</v>
      </c>
      <c r="R14" s="1106"/>
      <c r="S14" s="338" t="str">
        <f>'[1]прайс быт.'!I16</f>
        <v>3,5 кг</v>
      </c>
      <c r="T14" s="336">
        <f t="shared" si="2"/>
        <v>200.63</v>
      </c>
      <c r="U14" s="457">
        <v>558</v>
      </c>
      <c r="V14" s="333">
        <f t="shared" si="0"/>
        <v>226.88</v>
      </c>
      <c r="W14" s="459">
        <f t="shared" si="1"/>
        <v>642</v>
      </c>
      <c r="X14" s="337">
        <f t="shared" si="3"/>
        <v>726</v>
      </c>
    </row>
    <row r="15" spans="1:24" ht="37.5" customHeight="1">
      <c r="A15" s="1144"/>
      <c r="B15" s="1145"/>
      <c r="C15" s="1115"/>
      <c r="D15" s="445"/>
      <c r="E15" s="1130"/>
      <c r="F15" s="451"/>
      <c r="G15" s="1130"/>
      <c r="H15" s="445"/>
      <c r="I15" s="1115"/>
      <c r="J15" s="445"/>
      <c r="K15" s="1130"/>
      <c r="L15" s="445"/>
      <c r="M15" s="1110"/>
      <c r="N15" s="1110"/>
      <c r="O15" s="1110"/>
      <c r="P15" s="1110"/>
      <c r="Q15" s="490">
        <f>'Прайс опт полный '!Q16</f>
        <v>1.1000000000000001</v>
      </c>
      <c r="R15" s="1107"/>
      <c r="S15" s="338" t="str">
        <f>'[1]прайс быт.'!I17</f>
        <v>1,1 кг</v>
      </c>
      <c r="T15" s="336">
        <f t="shared" si="2"/>
        <v>197.27</v>
      </c>
      <c r="U15" s="457">
        <v>188</v>
      </c>
      <c r="V15" s="333">
        <f t="shared" si="0"/>
        <v>222.73</v>
      </c>
      <c r="W15" s="459">
        <f t="shared" si="1"/>
        <v>217</v>
      </c>
      <c r="X15" s="337">
        <f t="shared" si="3"/>
        <v>245</v>
      </c>
    </row>
    <row r="16" spans="1:24" ht="27">
      <c r="A16" s="1140">
        <v>3</v>
      </c>
      <c r="B16" s="1146" t="s">
        <v>357</v>
      </c>
      <c r="C16" s="1132" t="s">
        <v>41</v>
      </c>
      <c r="D16" s="446">
        <v>100</v>
      </c>
      <c r="E16" s="1138">
        <v>100</v>
      </c>
      <c r="F16" s="440">
        <v>280</v>
      </c>
      <c r="G16" s="1138">
        <v>280</v>
      </c>
      <c r="H16" s="446">
        <v>180</v>
      </c>
      <c r="I16" s="1132">
        <v>180</v>
      </c>
      <c r="J16" s="446">
        <v>400</v>
      </c>
      <c r="K16" s="1138">
        <v>400</v>
      </c>
      <c r="L16" s="440"/>
      <c r="M16" s="339">
        <f>T16/(1000/D16)</f>
        <v>17.440000000000001</v>
      </c>
      <c r="N16" s="339">
        <f>T16/(1000/F16)</f>
        <v>48.83</v>
      </c>
      <c r="O16" s="339">
        <f>T16/(1000/H16)</f>
        <v>31.39</v>
      </c>
      <c r="P16" s="339">
        <f>T16/(1000/J16)</f>
        <v>69.75</v>
      </c>
      <c r="Q16" s="490">
        <f>'Прайс опт полный '!Q17</f>
        <v>50</v>
      </c>
      <c r="R16" s="1127" t="s">
        <v>324</v>
      </c>
      <c r="S16" s="438" t="s">
        <v>221</v>
      </c>
      <c r="T16" s="332">
        <f t="shared" si="2"/>
        <v>174.38</v>
      </c>
      <c r="U16" s="333">
        <f>'[1]Прайс пром.'!N9</f>
        <v>7581</v>
      </c>
      <c r="V16" s="333">
        <f>X16/Q16</f>
        <v>197.12</v>
      </c>
      <c r="W16" s="459">
        <f t="shared" si="1"/>
        <v>8719</v>
      </c>
      <c r="X16" s="456">
        <f t="shared" si="3"/>
        <v>9856</v>
      </c>
    </row>
    <row r="17" spans="1:24" ht="27">
      <c r="A17" s="1140"/>
      <c r="B17" s="1146"/>
      <c r="C17" s="1133"/>
      <c r="D17" s="447">
        <v>100</v>
      </c>
      <c r="E17" s="1138"/>
      <c r="F17" s="440">
        <v>280</v>
      </c>
      <c r="G17" s="1138"/>
      <c r="H17" s="447">
        <v>180</v>
      </c>
      <c r="I17" s="1133"/>
      <c r="J17" s="447">
        <v>400</v>
      </c>
      <c r="K17" s="1138"/>
      <c r="L17" s="440"/>
      <c r="M17" s="339">
        <f>T17/(1000/D17)</f>
        <v>20.21</v>
      </c>
      <c r="N17" s="339">
        <f>T17/(1000/F17)</f>
        <v>56.6</v>
      </c>
      <c r="O17" s="339">
        <f>T17/(1000/H17)</f>
        <v>36.380000000000003</v>
      </c>
      <c r="P17" s="339">
        <f>T17/(1000/J17)</f>
        <v>80.849999999999994</v>
      </c>
      <c r="Q17" s="490">
        <f>'Прайс опт полный '!Q18</f>
        <v>24</v>
      </c>
      <c r="R17" s="1129"/>
      <c r="S17" s="334" t="s">
        <v>159</v>
      </c>
      <c r="T17" s="332">
        <f t="shared" si="2"/>
        <v>202.13</v>
      </c>
      <c r="U17" s="457">
        <v>4218</v>
      </c>
      <c r="V17" s="333">
        <f t="shared" si="0"/>
        <v>228.5</v>
      </c>
      <c r="W17" s="459">
        <f t="shared" si="1"/>
        <v>4851</v>
      </c>
      <c r="X17" s="456">
        <f t="shared" si="3"/>
        <v>5484</v>
      </c>
    </row>
    <row r="18" spans="1:24" ht="27">
      <c r="A18" s="1140"/>
      <c r="B18" s="1146"/>
      <c r="C18" s="1133"/>
      <c r="D18" s="447"/>
      <c r="E18" s="1138"/>
      <c r="F18" s="440"/>
      <c r="G18" s="1138"/>
      <c r="H18" s="447"/>
      <c r="I18" s="1133"/>
      <c r="J18" s="447"/>
      <c r="K18" s="1138"/>
      <c r="L18" s="446"/>
      <c r="M18" s="1116" t="s">
        <v>15</v>
      </c>
      <c r="N18" s="1116" t="s">
        <v>15</v>
      </c>
      <c r="O18" s="1116" t="s">
        <v>15</v>
      </c>
      <c r="P18" s="1116" t="s">
        <v>15</v>
      </c>
      <c r="Q18" s="490">
        <f>'Прайс опт полный '!Q19</f>
        <v>11</v>
      </c>
      <c r="R18" s="1127" t="s">
        <v>325</v>
      </c>
      <c r="S18" s="334" t="s">
        <v>135</v>
      </c>
      <c r="T18" s="332">
        <f t="shared" si="2"/>
        <v>196.73</v>
      </c>
      <c r="U18" s="457">
        <v>1881</v>
      </c>
      <c r="V18" s="333">
        <f t="shared" si="0"/>
        <v>222.36</v>
      </c>
      <c r="W18" s="459">
        <f t="shared" si="1"/>
        <v>2164</v>
      </c>
      <c r="X18" s="456">
        <f t="shared" si="3"/>
        <v>2446</v>
      </c>
    </row>
    <row r="19" spans="1:24" ht="27">
      <c r="A19" s="1140"/>
      <c r="B19" s="1146"/>
      <c r="C19" s="1133"/>
      <c r="D19" s="447"/>
      <c r="E19" s="1138"/>
      <c r="F19" s="440"/>
      <c r="G19" s="1138"/>
      <c r="H19" s="447"/>
      <c r="I19" s="1133"/>
      <c r="J19" s="447"/>
      <c r="K19" s="1138"/>
      <c r="L19" s="447"/>
      <c r="M19" s="1117"/>
      <c r="N19" s="1117"/>
      <c r="O19" s="1117"/>
      <c r="P19" s="1117"/>
      <c r="Q19" s="490">
        <f>'Прайс опт полный '!Q20</f>
        <v>3.5</v>
      </c>
      <c r="R19" s="1128"/>
      <c r="S19" s="334" t="s">
        <v>170</v>
      </c>
      <c r="T19" s="332">
        <f t="shared" si="2"/>
        <v>214</v>
      </c>
      <c r="U19" s="457">
        <v>651</v>
      </c>
      <c r="V19" s="333">
        <f t="shared" si="0"/>
        <v>242</v>
      </c>
      <c r="W19" s="459">
        <f t="shared" si="1"/>
        <v>749</v>
      </c>
      <c r="X19" s="456">
        <f t="shared" si="3"/>
        <v>847</v>
      </c>
    </row>
    <row r="20" spans="1:24" ht="27">
      <c r="A20" s="1140"/>
      <c r="B20" s="1146"/>
      <c r="C20" s="1134"/>
      <c r="D20" s="448"/>
      <c r="E20" s="1138"/>
      <c r="F20" s="440"/>
      <c r="G20" s="1138"/>
      <c r="H20" s="448"/>
      <c r="I20" s="1134"/>
      <c r="J20" s="448"/>
      <c r="K20" s="1138"/>
      <c r="L20" s="448"/>
      <c r="M20" s="1118"/>
      <c r="N20" s="1118"/>
      <c r="O20" s="1118"/>
      <c r="P20" s="1118"/>
      <c r="Q20" s="490">
        <f>'Прайс опт полный '!Q21</f>
        <v>1.1000000000000001</v>
      </c>
      <c r="R20" s="1129"/>
      <c r="S20" s="334" t="s">
        <v>171</v>
      </c>
      <c r="T20" s="332">
        <f t="shared" si="2"/>
        <v>229.09</v>
      </c>
      <c r="U20" s="457">
        <v>219</v>
      </c>
      <c r="V20" s="333">
        <f t="shared" si="0"/>
        <v>259.08999999999997</v>
      </c>
      <c r="W20" s="459">
        <f t="shared" si="1"/>
        <v>252</v>
      </c>
      <c r="X20" s="456">
        <f t="shared" si="3"/>
        <v>285</v>
      </c>
    </row>
    <row r="21" spans="1:24" ht="18.75" customHeight="1">
      <c r="A21" s="1144">
        <v>4</v>
      </c>
      <c r="B21" s="1145" t="s">
        <v>358</v>
      </c>
      <c r="C21" s="1113" t="s">
        <v>42</v>
      </c>
      <c r="D21" s="443">
        <v>100</v>
      </c>
      <c r="E21" s="1130">
        <v>100</v>
      </c>
      <c r="F21" s="451">
        <v>280</v>
      </c>
      <c r="G21" s="1130">
        <v>280</v>
      </c>
      <c r="H21" s="443">
        <v>180</v>
      </c>
      <c r="I21" s="1113">
        <v>180</v>
      </c>
      <c r="J21" s="443">
        <v>400</v>
      </c>
      <c r="K21" s="1130">
        <v>400</v>
      </c>
      <c r="L21" s="451"/>
      <c r="M21" s="335">
        <f>T21/(1000/D21)</f>
        <v>20.89</v>
      </c>
      <c r="N21" s="335">
        <f>T21/(1000/F21)</f>
        <v>58.5</v>
      </c>
      <c r="O21" s="335">
        <f>T21/(1000/H21)</f>
        <v>37.61</v>
      </c>
      <c r="P21" s="335">
        <f>T21/(1000/J21)</f>
        <v>83.57</v>
      </c>
      <c r="Q21" s="490">
        <f>'Прайс опт полный '!Q22</f>
        <v>50</v>
      </c>
      <c r="R21" s="1105" t="s">
        <v>324</v>
      </c>
      <c r="S21" s="441" t="s">
        <v>221</v>
      </c>
      <c r="T21" s="336">
        <f t="shared" si="2"/>
        <v>208.92</v>
      </c>
      <c r="U21" s="333">
        <f>'[1]Прайс пром.'!N11</f>
        <v>9083</v>
      </c>
      <c r="V21" s="333">
        <f t="shared" si="0"/>
        <v>236.16</v>
      </c>
      <c r="W21" s="459">
        <f t="shared" si="1"/>
        <v>10446</v>
      </c>
      <c r="X21" s="337">
        <f t="shared" si="3"/>
        <v>11808</v>
      </c>
    </row>
    <row r="22" spans="1:24" ht="24.75" customHeight="1">
      <c r="A22" s="1144"/>
      <c r="B22" s="1145"/>
      <c r="C22" s="1114"/>
      <c r="D22" s="444">
        <v>100</v>
      </c>
      <c r="E22" s="1130"/>
      <c r="F22" s="451">
        <v>280</v>
      </c>
      <c r="G22" s="1130"/>
      <c r="H22" s="444">
        <v>180</v>
      </c>
      <c r="I22" s="1114"/>
      <c r="J22" s="444">
        <v>400</v>
      </c>
      <c r="K22" s="1130"/>
      <c r="L22" s="451"/>
      <c r="M22" s="335">
        <f>T22/(1000/D22)</f>
        <v>22.35</v>
      </c>
      <c r="N22" s="335">
        <f>T22/(1000/F22)</f>
        <v>62.59</v>
      </c>
      <c r="O22" s="335">
        <f>T22/(1000/H22)</f>
        <v>40.24</v>
      </c>
      <c r="P22" s="335">
        <f>T22/(1000/J22)</f>
        <v>89.42</v>
      </c>
      <c r="Q22" s="490">
        <f>'Прайс опт полный '!Q23</f>
        <v>24</v>
      </c>
      <c r="R22" s="1107"/>
      <c r="S22" s="338" t="s">
        <v>160</v>
      </c>
      <c r="T22" s="336">
        <f t="shared" si="2"/>
        <v>223.54</v>
      </c>
      <c r="U22" s="457">
        <v>4665</v>
      </c>
      <c r="V22" s="333">
        <f t="shared" si="0"/>
        <v>252.71</v>
      </c>
      <c r="W22" s="459">
        <f>ROUNDUP(U22*1.15,0)</f>
        <v>5365</v>
      </c>
      <c r="X22" s="337">
        <f t="shared" si="3"/>
        <v>6065</v>
      </c>
    </row>
    <row r="23" spans="1:24" ht="24.75" customHeight="1">
      <c r="A23" s="1144"/>
      <c r="B23" s="1145"/>
      <c r="C23" s="1114"/>
      <c r="D23" s="444"/>
      <c r="E23" s="1130"/>
      <c r="F23" s="451"/>
      <c r="G23" s="1130"/>
      <c r="H23" s="444"/>
      <c r="I23" s="1114"/>
      <c r="J23" s="444"/>
      <c r="K23" s="1130"/>
      <c r="L23" s="443"/>
      <c r="M23" s="1108"/>
      <c r="N23" s="1108"/>
      <c r="O23" s="1108"/>
      <c r="P23" s="1108"/>
      <c r="Q23" s="490">
        <f>'Прайс опт полный '!Q24</f>
        <v>10.5</v>
      </c>
      <c r="R23" s="1105" t="s">
        <v>325</v>
      </c>
      <c r="S23" s="338" t="s">
        <v>135</v>
      </c>
      <c r="T23" s="336">
        <f t="shared" si="2"/>
        <v>251.81</v>
      </c>
      <c r="U23" s="457">
        <v>2299</v>
      </c>
      <c r="V23" s="333">
        <f t="shared" si="0"/>
        <v>284.67</v>
      </c>
      <c r="W23" s="459">
        <f t="shared" si="1"/>
        <v>2644</v>
      </c>
      <c r="X23" s="337">
        <f t="shared" si="3"/>
        <v>2989</v>
      </c>
    </row>
    <row r="24" spans="1:24" ht="21.75" customHeight="1">
      <c r="A24" s="1144"/>
      <c r="B24" s="1145"/>
      <c r="C24" s="1114"/>
      <c r="D24" s="444"/>
      <c r="E24" s="1130"/>
      <c r="F24" s="451"/>
      <c r="G24" s="1130"/>
      <c r="H24" s="444"/>
      <c r="I24" s="1114"/>
      <c r="J24" s="444"/>
      <c r="K24" s="1130"/>
      <c r="L24" s="444"/>
      <c r="M24" s="1109"/>
      <c r="N24" s="1109"/>
      <c r="O24" s="1109"/>
      <c r="P24" s="1109"/>
      <c r="Q24" s="490">
        <f>'Прайс опт полный '!Q25</f>
        <v>3.3</v>
      </c>
      <c r="R24" s="1106"/>
      <c r="S24" s="338" t="s">
        <v>170</v>
      </c>
      <c r="T24" s="336">
        <f t="shared" si="2"/>
        <v>273.02999999999997</v>
      </c>
      <c r="U24" s="457">
        <v>783</v>
      </c>
      <c r="V24" s="333">
        <f t="shared" si="0"/>
        <v>308.48</v>
      </c>
      <c r="W24" s="459">
        <f t="shared" si="1"/>
        <v>901</v>
      </c>
      <c r="X24" s="337">
        <f t="shared" si="3"/>
        <v>1018</v>
      </c>
    </row>
    <row r="25" spans="1:24" ht="51.75" customHeight="1">
      <c r="A25" s="1144"/>
      <c r="B25" s="1145"/>
      <c r="C25" s="1115"/>
      <c r="D25" s="445"/>
      <c r="E25" s="1130"/>
      <c r="F25" s="451"/>
      <c r="G25" s="1130"/>
      <c r="H25" s="445"/>
      <c r="I25" s="1115"/>
      <c r="J25" s="445"/>
      <c r="K25" s="1130"/>
      <c r="L25" s="445"/>
      <c r="M25" s="1110"/>
      <c r="N25" s="1110"/>
      <c r="O25" s="1110"/>
      <c r="P25" s="1110"/>
      <c r="Q25" s="490">
        <f>'Прайс опт полный '!Q26</f>
        <v>1</v>
      </c>
      <c r="R25" s="1107"/>
      <c r="S25" s="338" t="s">
        <v>171</v>
      </c>
      <c r="T25" s="336">
        <f t="shared" si="2"/>
        <v>312</v>
      </c>
      <c r="U25" s="457">
        <v>271</v>
      </c>
      <c r="V25" s="333">
        <f>X25/Q25</f>
        <v>353</v>
      </c>
      <c r="W25" s="459">
        <f t="shared" si="1"/>
        <v>312</v>
      </c>
      <c r="X25" s="337">
        <f t="shared" si="3"/>
        <v>353</v>
      </c>
    </row>
    <row r="26" spans="1:24" ht="89.25" customHeight="1">
      <c r="A26" s="438">
        <v>5</v>
      </c>
      <c r="B26" s="439" t="s">
        <v>371</v>
      </c>
      <c r="C26" s="440" t="s">
        <v>77</v>
      </c>
      <c r="D26" s="439"/>
      <c r="E26" s="440" t="s">
        <v>15</v>
      </c>
      <c r="F26" s="440"/>
      <c r="G26" s="440">
        <v>100</v>
      </c>
      <c r="H26" s="440"/>
      <c r="I26" s="440">
        <v>50</v>
      </c>
      <c r="J26" s="440"/>
      <c r="K26" s="440" t="s">
        <v>15</v>
      </c>
      <c r="L26" s="440"/>
      <c r="M26" s="440" t="s">
        <v>15</v>
      </c>
      <c r="N26" s="340">
        <v>5.9</v>
      </c>
      <c r="O26" s="340">
        <v>2.95</v>
      </c>
      <c r="P26" s="440" t="s">
        <v>15</v>
      </c>
      <c r="Q26" s="490">
        <f>'Прайс опт полный '!Q27</f>
        <v>25</v>
      </c>
      <c r="R26" s="438" t="s">
        <v>341</v>
      </c>
      <c r="S26" s="438" t="s">
        <v>224</v>
      </c>
      <c r="T26" s="332">
        <f t="shared" si="2"/>
        <v>67.88</v>
      </c>
      <c r="U26" s="333">
        <v>1475</v>
      </c>
      <c r="V26" s="333">
        <f t="shared" si="0"/>
        <v>76.72</v>
      </c>
      <c r="W26" s="459">
        <f t="shared" si="1"/>
        <v>1697</v>
      </c>
      <c r="X26" s="456">
        <f t="shared" si="3"/>
        <v>1918</v>
      </c>
    </row>
    <row r="27" spans="1:24" ht="40.5" customHeight="1">
      <c r="A27" s="1144">
        <v>6</v>
      </c>
      <c r="B27" s="1145" t="s">
        <v>372</v>
      </c>
      <c r="C27" s="1113" t="s">
        <v>334</v>
      </c>
      <c r="D27" s="443"/>
      <c r="E27" s="1130" t="s">
        <v>15</v>
      </c>
      <c r="F27" s="451">
        <v>300</v>
      </c>
      <c r="G27" s="451">
        <v>300</v>
      </c>
      <c r="H27" s="451">
        <v>200</v>
      </c>
      <c r="I27" s="451">
        <v>200</v>
      </c>
      <c r="J27" s="451"/>
      <c r="K27" s="1130" t="s">
        <v>15</v>
      </c>
      <c r="L27" s="451"/>
      <c r="M27" s="1108" t="s">
        <v>15</v>
      </c>
      <c r="N27" s="335">
        <f>T27/(1000/F27)</f>
        <v>22.76</v>
      </c>
      <c r="O27" s="335">
        <f>T27/(1000/H27)</f>
        <v>15.17</v>
      </c>
      <c r="P27" s="1113" t="s">
        <v>15</v>
      </c>
      <c r="Q27" s="490">
        <f>'Прайс опт полный '!Q28</f>
        <v>48</v>
      </c>
      <c r="R27" s="1105" t="s">
        <v>324</v>
      </c>
      <c r="S27" s="451" t="s">
        <v>226</v>
      </c>
      <c r="T27" s="336">
        <f t="shared" si="2"/>
        <v>75.849999999999994</v>
      </c>
      <c r="U27" s="341" t="s">
        <v>227</v>
      </c>
      <c r="V27" s="333">
        <f t="shared" si="0"/>
        <v>85.75</v>
      </c>
      <c r="W27" s="459">
        <f t="shared" si="1"/>
        <v>3641</v>
      </c>
      <c r="X27" s="337">
        <f t="shared" si="3"/>
        <v>4116</v>
      </c>
    </row>
    <row r="28" spans="1:24" ht="32.25" customHeight="1">
      <c r="A28" s="1144"/>
      <c r="B28" s="1145"/>
      <c r="C28" s="1114"/>
      <c r="D28" s="444"/>
      <c r="E28" s="1130"/>
      <c r="F28" s="451">
        <v>103</v>
      </c>
      <c r="G28" s="1130" t="s">
        <v>377</v>
      </c>
      <c r="H28" s="451">
        <v>69</v>
      </c>
      <c r="I28" s="1113" t="s">
        <v>378</v>
      </c>
      <c r="J28" s="443"/>
      <c r="K28" s="1130"/>
      <c r="L28" s="451"/>
      <c r="M28" s="1109"/>
      <c r="N28" s="335">
        <f>T28/(1000/F28)</f>
        <v>18.649999999999999</v>
      </c>
      <c r="O28" s="335">
        <f>T28/(1000/H28)</f>
        <v>12.5</v>
      </c>
      <c r="P28" s="1114"/>
      <c r="Q28" s="490">
        <f>'Прайс опт полный '!Q29</f>
        <v>65</v>
      </c>
      <c r="R28" s="1107"/>
      <c r="S28" s="441" t="s">
        <v>229</v>
      </c>
      <c r="T28" s="336">
        <f>W28/Q28</f>
        <v>181.11</v>
      </c>
      <c r="U28" s="342">
        <v>10236</v>
      </c>
      <c r="V28" s="333">
        <f t="shared" si="0"/>
        <v>204.72</v>
      </c>
      <c r="W28" s="459">
        <f t="shared" si="1"/>
        <v>11772</v>
      </c>
      <c r="X28" s="337">
        <f t="shared" si="3"/>
        <v>13307</v>
      </c>
    </row>
    <row r="29" spans="1:24" ht="32.25" customHeight="1">
      <c r="A29" s="1144"/>
      <c r="B29" s="1145"/>
      <c r="C29" s="1114"/>
      <c r="D29" s="444"/>
      <c r="E29" s="1130"/>
      <c r="F29" s="451">
        <v>103</v>
      </c>
      <c r="G29" s="1130"/>
      <c r="H29" s="451">
        <v>69</v>
      </c>
      <c r="I29" s="1114"/>
      <c r="J29" s="444"/>
      <c r="K29" s="1130"/>
      <c r="L29" s="451"/>
      <c r="M29" s="1109"/>
      <c r="N29" s="335">
        <f>T29/(1000/F29)</f>
        <v>19.96</v>
      </c>
      <c r="O29" s="335">
        <f>T29/(1000/H29)</f>
        <v>13.37</v>
      </c>
      <c r="P29" s="1114"/>
      <c r="Q29" s="490">
        <f>'Прайс опт полный '!Q30</f>
        <v>16</v>
      </c>
      <c r="R29" s="1105" t="s">
        <v>325</v>
      </c>
      <c r="S29" s="441" t="s">
        <v>230</v>
      </c>
      <c r="T29" s="336">
        <f t="shared" si="2"/>
        <v>193.81</v>
      </c>
      <c r="U29" s="342">
        <v>2696</v>
      </c>
      <c r="V29" s="333">
        <f t="shared" si="0"/>
        <v>219.06</v>
      </c>
      <c r="W29" s="459">
        <f t="shared" si="1"/>
        <v>3101</v>
      </c>
      <c r="X29" s="337">
        <f t="shared" si="3"/>
        <v>3505</v>
      </c>
    </row>
    <row r="30" spans="1:24" ht="30.75" customHeight="1">
      <c r="A30" s="1144"/>
      <c r="B30" s="1145"/>
      <c r="C30" s="1115"/>
      <c r="D30" s="445"/>
      <c r="E30" s="1130"/>
      <c r="F30" s="451">
        <v>103</v>
      </c>
      <c r="G30" s="1130"/>
      <c r="H30" s="451">
        <v>69</v>
      </c>
      <c r="I30" s="1115"/>
      <c r="J30" s="445"/>
      <c r="K30" s="1130"/>
      <c r="L30" s="451"/>
      <c r="M30" s="1110"/>
      <c r="N30" s="335">
        <f>T30/(1000/F30)</f>
        <v>21.38</v>
      </c>
      <c r="O30" s="335">
        <f>T30/(1000/H30)</f>
        <v>14.32</v>
      </c>
      <c r="P30" s="1115"/>
      <c r="Q30" s="490">
        <f>'Прайс опт полный '!Q31</f>
        <v>5</v>
      </c>
      <c r="R30" s="1107"/>
      <c r="S30" s="441" t="s">
        <v>231</v>
      </c>
      <c r="T30" s="336">
        <f t="shared" si="2"/>
        <v>207.6</v>
      </c>
      <c r="U30" s="342">
        <v>902</v>
      </c>
      <c r="V30" s="333">
        <f t="shared" si="0"/>
        <v>234.6</v>
      </c>
      <c r="W30" s="459">
        <f t="shared" si="1"/>
        <v>1038</v>
      </c>
      <c r="X30" s="337">
        <f t="shared" si="3"/>
        <v>1173</v>
      </c>
    </row>
    <row r="31" spans="1:24" ht="25.5" customHeight="1">
      <c r="A31" s="1140">
        <v>7</v>
      </c>
      <c r="B31" s="1146" t="s">
        <v>373</v>
      </c>
      <c r="C31" s="1132" t="s">
        <v>6</v>
      </c>
      <c r="D31" s="420"/>
      <c r="E31" s="1151" t="s">
        <v>232</v>
      </c>
      <c r="F31" s="1152"/>
      <c r="G31" s="1152"/>
      <c r="H31" s="1152"/>
      <c r="I31" s="1152"/>
      <c r="J31" s="1152"/>
      <c r="K31" s="1153"/>
      <c r="L31" s="421"/>
      <c r="M31" s="1102" t="str">
        <f>CONCATENATE(ROUND(T31*0.1,2),"-",ROUND(T31*0.23,2))</f>
        <v>14,6-33,58</v>
      </c>
      <c r="N31" s="1103"/>
      <c r="O31" s="1103"/>
      <c r="P31" s="1104"/>
      <c r="Q31" s="490">
        <f>'Прайс опт полный '!Q32</f>
        <v>9.5</v>
      </c>
      <c r="R31" s="438" t="s">
        <v>325</v>
      </c>
      <c r="S31" s="438" t="s">
        <v>233</v>
      </c>
      <c r="T31" s="332">
        <f t="shared" si="2"/>
        <v>146</v>
      </c>
      <c r="U31" s="333">
        <f>'[1]Прайс пром.'!N21</f>
        <v>1206</v>
      </c>
      <c r="V31" s="333">
        <f t="shared" si="0"/>
        <v>165.05</v>
      </c>
      <c r="W31" s="459">
        <f t="shared" si="1"/>
        <v>1387</v>
      </c>
      <c r="X31" s="456">
        <f t="shared" si="3"/>
        <v>1568</v>
      </c>
    </row>
    <row r="32" spans="1:24" ht="27.75" customHeight="1">
      <c r="A32" s="1140"/>
      <c r="B32" s="1146"/>
      <c r="C32" s="1133"/>
      <c r="D32" s="422"/>
      <c r="E32" s="1154"/>
      <c r="F32" s="1155"/>
      <c r="G32" s="1155"/>
      <c r="H32" s="1155"/>
      <c r="I32" s="1155"/>
      <c r="J32" s="1155"/>
      <c r="K32" s="1156"/>
      <c r="L32" s="423"/>
      <c r="M32" s="1102" t="str">
        <f>CONCATENATE(ROUND(T32*0.1,2),"-",ROUND(T32*0.23,2))</f>
        <v>13,64-31,38</v>
      </c>
      <c r="N32" s="1103"/>
      <c r="O32" s="1103"/>
      <c r="P32" s="1104"/>
      <c r="Q32" s="490">
        <f>'Прайс опт полный '!Q33</f>
        <v>21</v>
      </c>
      <c r="R32" s="1111" t="s">
        <v>324</v>
      </c>
      <c r="S32" s="438" t="s">
        <v>234</v>
      </c>
      <c r="T32" s="332">
        <f t="shared" si="2"/>
        <v>136.43</v>
      </c>
      <c r="U32" s="333">
        <f>'[1]Прайс пром.'!N22</f>
        <v>2491</v>
      </c>
      <c r="V32" s="333">
        <f t="shared" si="0"/>
        <v>154.24</v>
      </c>
      <c r="W32" s="459">
        <f t="shared" si="1"/>
        <v>2865</v>
      </c>
      <c r="X32" s="456">
        <f t="shared" si="3"/>
        <v>3239</v>
      </c>
    </row>
    <row r="33" spans="1:25" ht="27.75" customHeight="1">
      <c r="A33" s="1140"/>
      <c r="B33" s="1146"/>
      <c r="C33" s="1134"/>
      <c r="D33" s="424"/>
      <c r="E33" s="1157"/>
      <c r="F33" s="1158"/>
      <c r="G33" s="1158"/>
      <c r="H33" s="1158"/>
      <c r="I33" s="1158"/>
      <c r="J33" s="1158"/>
      <c r="K33" s="1159"/>
      <c r="L33" s="425"/>
      <c r="M33" s="1102" t="str">
        <f>CONCATENATE(ROUND(T33*0.1,2),"-",ROUND(T33*0.23,2))</f>
        <v>12,75-29,33</v>
      </c>
      <c r="N33" s="1103"/>
      <c r="O33" s="1103"/>
      <c r="P33" s="1104"/>
      <c r="Q33" s="490">
        <f>'Прайс опт полный '!Q34</f>
        <v>43</v>
      </c>
      <c r="R33" s="1112"/>
      <c r="S33" s="438" t="s">
        <v>235</v>
      </c>
      <c r="T33" s="332">
        <f t="shared" si="2"/>
        <v>127.51</v>
      </c>
      <c r="U33" s="333">
        <f>'[1]Прайс пром.'!N23</f>
        <v>4767</v>
      </c>
      <c r="V33" s="333">
        <f t="shared" si="0"/>
        <v>144.13999999999999</v>
      </c>
      <c r="W33" s="459">
        <f t="shared" si="1"/>
        <v>5483</v>
      </c>
      <c r="X33" s="456">
        <f t="shared" si="3"/>
        <v>6198</v>
      </c>
    </row>
    <row r="34" spans="1:25" ht="26.25" customHeight="1">
      <c r="A34" s="1144">
        <v>8</v>
      </c>
      <c r="B34" s="1145" t="s">
        <v>374</v>
      </c>
      <c r="C34" s="1113" t="s">
        <v>6</v>
      </c>
      <c r="D34" s="426"/>
      <c r="E34" s="1160" t="s">
        <v>193</v>
      </c>
      <c r="F34" s="1161"/>
      <c r="G34" s="1161"/>
      <c r="H34" s="1161"/>
      <c r="I34" s="1161"/>
      <c r="J34" s="1161"/>
      <c r="K34" s="1162"/>
      <c r="L34" s="427"/>
      <c r="M34" s="1088" t="str">
        <f t="shared" ref="M34:M39" si="4">CONCATENATE(ROUND(T34*0.15,2),"-",ROUND(T34*0.35,2))</f>
        <v>23,04-53,75</v>
      </c>
      <c r="N34" s="1101"/>
      <c r="O34" s="1101"/>
      <c r="P34" s="1091"/>
      <c r="Q34" s="490">
        <f>'Прайс опт полный '!Q35</f>
        <v>9.5</v>
      </c>
      <c r="R34" s="441" t="s">
        <v>325</v>
      </c>
      <c r="S34" s="441" t="s">
        <v>233</v>
      </c>
      <c r="T34" s="336">
        <f t="shared" si="2"/>
        <v>153.58000000000001</v>
      </c>
      <c r="U34" s="333">
        <f>'[1]Прайс пром.'!N24</f>
        <v>1268</v>
      </c>
      <c r="V34" s="333">
        <f t="shared" si="0"/>
        <v>173.58</v>
      </c>
      <c r="W34" s="459">
        <f t="shared" si="1"/>
        <v>1459</v>
      </c>
      <c r="X34" s="337">
        <f t="shared" si="3"/>
        <v>1649</v>
      </c>
    </row>
    <row r="35" spans="1:25" ht="28.5" customHeight="1">
      <c r="A35" s="1144"/>
      <c r="B35" s="1145"/>
      <c r="C35" s="1114"/>
      <c r="D35" s="428"/>
      <c r="E35" s="1163"/>
      <c r="F35" s="1164"/>
      <c r="G35" s="1164"/>
      <c r="H35" s="1164"/>
      <c r="I35" s="1164"/>
      <c r="J35" s="1164"/>
      <c r="K35" s="1165"/>
      <c r="L35" s="429"/>
      <c r="M35" s="1088" t="str">
        <f t="shared" si="4"/>
        <v>21,51-50,2</v>
      </c>
      <c r="N35" s="1101"/>
      <c r="O35" s="1101"/>
      <c r="P35" s="1091"/>
      <c r="Q35" s="490">
        <f>'Прайс опт полный '!Q36</f>
        <v>21</v>
      </c>
      <c r="R35" s="1105" t="s">
        <v>324</v>
      </c>
      <c r="S35" s="441" t="s">
        <v>234</v>
      </c>
      <c r="T35" s="336">
        <f t="shared" si="2"/>
        <v>143.43</v>
      </c>
      <c r="U35" s="333">
        <f>'[1]Прайс пром.'!N25</f>
        <v>2619</v>
      </c>
      <c r="V35" s="333">
        <f t="shared" si="0"/>
        <v>162.13999999999999</v>
      </c>
      <c r="W35" s="459">
        <f t="shared" si="1"/>
        <v>3012</v>
      </c>
      <c r="X35" s="337">
        <f t="shared" si="3"/>
        <v>3405</v>
      </c>
    </row>
    <row r="36" spans="1:25" ht="27" customHeight="1">
      <c r="A36" s="1144"/>
      <c r="B36" s="1145"/>
      <c r="C36" s="1115"/>
      <c r="D36" s="430"/>
      <c r="E36" s="1166"/>
      <c r="F36" s="1167"/>
      <c r="G36" s="1167"/>
      <c r="H36" s="1167"/>
      <c r="I36" s="1167"/>
      <c r="J36" s="1167"/>
      <c r="K36" s="1168"/>
      <c r="L36" s="431"/>
      <c r="M36" s="1088" t="str">
        <f t="shared" si="4"/>
        <v>20,1-46,91</v>
      </c>
      <c r="N36" s="1101"/>
      <c r="O36" s="1101"/>
      <c r="P36" s="1091"/>
      <c r="Q36" s="490">
        <f>'Прайс опт полный '!Q37</f>
        <v>43</v>
      </c>
      <c r="R36" s="1107"/>
      <c r="S36" s="441" t="s">
        <v>235</v>
      </c>
      <c r="T36" s="336">
        <f t="shared" si="2"/>
        <v>134.02000000000001</v>
      </c>
      <c r="U36" s="333">
        <f>'[1]Прайс пром.'!N26</f>
        <v>5011</v>
      </c>
      <c r="V36" s="333">
        <f t="shared" si="0"/>
        <v>151.51</v>
      </c>
      <c r="W36" s="459">
        <f t="shared" si="1"/>
        <v>5763</v>
      </c>
      <c r="X36" s="337">
        <f>ROUNDUP(U36*1.3,0)</f>
        <v>6515</v>
      </c>
    </row>
    <row r="37" spans="1:25" ht="23.25" customHeight="1">
      <c r="A37" s="1111">
        <v>9</v>
      </c>
      <c r="B37" s="1169" t="s">
        <v>375</v>
      </c>
      <c r="C37" s="1132" t="s">
        <v>6</v>
      </c>
      <c r="D37" s="428"/>
      <c r="E37" s="1151" t="s">
        <v>193</v>
      </c>
      <c r="F37" s="1152"/>
      <c r="G37" s="1152"/>
      <c r="H37" s="1152"/>
      <c r="I37" s="1152"/>
      <c r="J37" s="1152"/>
      <c r="K37" s="1153"/>
      <c r="L37" s="429"/>
      <c r="M37" s="1102" t="str">
        <f t="shared" si="4"/>
        <v>21,9-51,1</v>
      </c>
      <c r="N37" s="1103"/>
      <c r="O37" s="1103"/>
      <c r="P37" s="1104"/>
      <c r="Q37" s="490">
        <f>'Прайс опт полный '!Q38</f>
        <v>9.5</v>
      </c>
      <c r="R37" s="438" t="s">
        <v>325</v>
      </c>
      <c r="S37" s="452" t="s">
        <v>342</v>
      </c>
      <c r="T37" s="347">
        <f>W37/Q37</f>
        <v>146</v>
      </c>
      <c r="U37" s="412">
        <v>1206</v>
      </c>
      <c r="V37" s="333">
        <f t="shared" si="0"/>
        <v>165.05</v>
      </c>
      <c r="W37" s="459">
        <f t="shared" si="1"/>
        <v>1387</v>
      </c>
      <c r="X37" s="337">
        <f>ROUNDUP(U37*1.3,0)</f>
        <v>1568</v>
      </c>
    </row>
    <row r="38" spans="1:25" ht="27" customHeight="1">
      <c r="A38" s="1150"/>
      <c r="B38" s="1170"/>
      <c r="C38" s="1133"/>
      <c r="D38" s="420"/>
      <c r="E38" s="1154"/>
      <c r="F38" s="1155"/>
      <c r="G38" s="1155"/>
      <c r="H38" s="1155"/>
      <c r="I38" s="1155"/>
      <c r="J38" s="1155"/>
      <c r="K38" s="1156"/>
      <c r="L38" s="421"/>
      <c r="M38" s="1102" t="str">
        <f t="shared" si="4"/>
        <v>20,46-47,75</v>
      </c>
      <c r="N38" s="1103"/>
      <c r="O38" s="1103"/>
      <c r="P38" s="1104"/>
      <c r="Q38" s="490">
        <f>'Прайс опт полный '!Q39</f>
        <v>21</v>
      </c>
      <c r="R38" s="1111" t="s">
        <v>324</v>
      </c>
      <c r="S38" s="438" t="s">
        <v>161</v>
      </c>
      <c r="T38" s="332">
        <f t="shared" si="2"/>
        <v>136.43</v>
      </c>
      <c r="U38" s="333">
        <f>'[1]Прайс пром.'!N27</f>
        <v>2491</v>
      </c>
      <c r="V38" s="333">
        <f t="shared" si="0"/>
        <v>154.24</v>
      </c>
      <c r="W38" s="459">
        <f t="shared" si="1"/>
        <v>2865</v>
      </c>
      <c r="X38" s="456">
        <f>ROUNDUP(U38*1.3,0)</f>
        <v>3239</v>
      </c>
    </row>
    <row r="39" spans="1:25" ht="49.5" customHeight="1">
      <c r="A39" s="1112"/>
      <c r="B39" s="1171"/>
      <c r="C39" s="1134"/>
      <c r="D39" s="424"/>
      <c r="E39" s="1157"/>
      <c r="F39" s="1158"/>
      <c r="G39" s="1158"/>
      <c r="H39" s="1158"/>
      <c r="I39" s="1158"/>
      <c r="J39" s="1158"/>
      <c r="K39" s="1159"/>
      <c r="L39" s="425"/>
      <c r="M39" s="1102" t="str">
        <f t="shared" si="4"/>
        <v>19,13-44,63</v>
      </c>
      <c r="N39" s="1103"/>
      <c r="O39" s="1103"/>
      <c r="P39" s="1104"/>
      <c r="Q39" s="490">
        <f>'Прайс опт полный '!Q40</f>
        <v>43</v>
      </c>
      <c r="R39" s="1112"/>
      <c r="S39" s="438" t="s">
        <v>236</v>
      </c>
      <c r="T39" s="332">
        <f t="shared" si="2"/>
        <v>127.51</v>
      </c>
      <c r="U39" s="333">
        <f>'[1]Прайс пром.'!N28</f>
        <v>4767</v>
      </c>
      <c r="V39" s="333">
        <f t="shared" si="0"/>
        <v>144.13999999999999</v>
      </c>
      <c r="W39" s="459">
        <f t="shared" si="1"/>
        <v>5483</v>
      </c>
      <c r="X39" s="456">
        <f>ROUNDUP(U39*1.3,0)</f>
        <v>6198</v>
      </c>
    </row>
    <row r="40" spans="1:25" ht="18.75" customHeight="1">
      <c r="A40" s="1111">
        <v>10</v>
      </c>
      <c r="B40" s="1145" t="s">
        <v>376</v>
      </c>
      <c r="C40" s="1113" t="s">
        <v>6</v>
      </c>
      <c r="D40" s="426"/>
      <c r="E40" s="1160" t="s">
        <v>237</v>
      </c>
      <c r="F40" s="1161"/>
      <c r="G40" s="1161"/>
      <c r="H40" s="1161"/>
      <c r="I40" s="1161"/>
      <c r="J40" s="1161"/>
      <c r="K40" s="1162"/>
      <c r="L40" s="427"/>
      <c r="M40" s="1088" t="str">
        <f>CONCATENATE(ROUND(T40*2.5,2),"-",ROUND(T40*4.5,2))</f>
        <v>365-657</v>
      </c>
      <c r="N40" s="1101"/>
      <c r="O40" s="1101"/>
      <c r="P40" s="1091"/>
      <c r="Q40" s="490">
        <f>'Прайс опт полный '!Q41</f>
        <v>9.5</v>
      </c>
      <c r="R40" s="441" t="s">
        <v>325</v>
      </c>
      <c r="S40" s="441" t="s">
        <v>233</v>
      </c>
      <c r="T40" s="336">
        <f t="shared" si="2"/>
        <v>146</v>
      </c>
      <c r="U40" s="333">
        <v>1206</v>
      </c>
      <c r="V40" s="333">
        <f t="shared" si="0"/>
        <v>165.05</v>
      </c>
      <c r="W40" s="459">
        <f t="shared" si="1"/>
        <v>1387</v>
      </c>
      <c r="X40" s="337">
        <f t="shared" ref="X40:X69" si="5">ROUNDUP(U40*1.3,0)</f>
        <v>1568</v>
      </c>
    </row>
    <row r="41" spans="1:25" ht="19.5" customHeight="1">
      <c r="A41" s="1150"/>
      <c r="B41" s="1145"/>
      <c r="C41" s="1114"/>
      <c r="D41" s="428"/>
      <c r="E41" s="1163"/>
      <c r="F41" s="1164"/>
      <c r="G41" s="1164"/>
      <c r="H41" s="1164"/>
      <c r="I41" s="1164"/>
      <c r="J41" s="1164"/>
      <c r="K41" s="1165"/>
      <c r="L41" s="429"/>
      <c r="M41" s="1088" t="str">
        <f>CONCATENATE(ROUND(T41*2.5,2),"-",ROUND(T41*4.5,2))</f>
        <v>341,08-613,94</v>
      </c>
      <c r="N41" s="1101"/>
      <c r="O41" s="1101"/>
      <c r="P41" s="1091"/>
      <c r="Q41" s="490">
        <f>'Прайс опт полный '!Q42</f>
        <v>21</v>
      </c>
      <c r="R41" s="1105" t="s">
        <v>324</v>
      </c>
      <c r="S41" s="441" t="s">
        <v>161</v>
      </c>
      <c r="T41" s="336">
        <f t="shared" si="2"/>
        <v>136.43</v>
      </c>
      <c r="U41" s="333">
        <v>2491</v>
      </c>
      <c r="V41" s="333">
        <f t="shared" si="0"/>
        <v>154.24</v>
      </c>
      <c r="W41" s="459">
        <f t="shared" si="1"/>
        <v>2865</v>
      </c>
      <c r="X41" s="337">
        <f t="shared" si="5"/>
        <v>3239</v>
      </c>
    </row>
    <row r="42" spans="1:25" ht="48" customHeight="1">
      <c r="A42" s="1112"/>
      <c r="B42" s="1145"/>
      <c r="C42" s="1115"/>
      <c r="D42" s="430"/>
      <c r="E42" s="1166"/>
      <c r="F42" s="1167"/>
      <c r="G42" s="1167"/>
      <c r="H42" s="1167"/>
      <c r="I42" s="1167"/>
      <c r="J42" s="1167"/>
      <c r="K42" s="1168"/>
      <c r="L42" s="431"/>
      <c r="M42" s="1088" t="str">
        <f>CONCATENATE(ROUND(T42*2.5,2),"-",ROUND(T42*4.5,2))</f>
        <v>318,78-573,8</v>
      </c>
      <c r="N42" s="1101"/>
      <c r="O42" s="1101"/>
      <c r="P42" s="1091"/>
      <c r="Q42" s="490">
        <f>'Прайс опт полный '!Q43</f>
        <v>43</v>
      </c>
      <c r="R42" s="1107"/>
      <c r="S42" s="441" t="s">
        <v>236</v>
      </c>
      <c r="T42" s="336">
        <f t="shared" si="2"/>
        <v>127.51</v>
      </c>
      <c r="U42" s="333">
        <v>4767</v>
      </c>
      <c r="V42" s="333">
        <f t="shared" si="0"/>
        <v>144.13999999999999</v>
      </c>
      <c r="W42" s="459">
        <f t="shared" si="1"/>
        <v>5483</v>
      </c>
      <c r="X42" s="337">
        <f t="shared" si="5"/>
        <v>6198</v>
      </c>
    </row>
    <row r="43" spans="1:25" ht="99" customHeight="1">
      <c r="A43" s="438">
        <v>11</v>
      </c>
      <c r="B43" s="439" t="s">
        <v>359</v>
      </c>
      <c r="C43" s="439" t="s">
        <v>379</v>
      </c>
      <c r="D43" s="343"/>
      <c r="E43" s="1102" t="s">
        <v>239</v>
      </c>
      <c r="F43" s="1103"/>
      <c r="G43" s="1103"/>
      <c r="H43" s="1103"/>
      <c r="I43" s="1103"/>
      <c r="J43" s="1103"/>
      <c r="K43" s="1104"/>
      <c r="L43" s="419"/>
      <c r="M43" s="1102">
        <f>T43*1.7</f>
        <v>584.54499999999996</v>
      </c>
      <c r="N43" s="1103"/>
      <c r="O43" s="1103"/>
      <c r="P43" s="1104"/>
      <c r="Q43" s="490">
        <f>'Прайс опт полный '!Q44</f>
        <v>40</v>
      </c>
      <c r="R43" s="438" t="s">
        <v>324</v>
      </c>
      <c r="S43" s="438" t="s">
        <v>240</v>
      </c>
      <c r="T43" s="332">
        <f t="shared" si="2"/>
        <v>343.85</v>
      </c>
      <c r="U43" s="333">
        <v>11960</v>
      </c>
      <c r="V43" s="333">
        <f t="shared" si="0"/>
        <v>388.7</v>
      </c>
      <c r="W43" s="459">
        <f t="shared" si="1"/>
        <v>13754</v>
      </c>
      <c r="X43" s="456">
        <f t="shared" si="5"/>
        <v>15548</v>
      </c>
      <c r="Y43" s="11"/>
    </row>
    <row r="44" spans="1:25" ht="51.75" customHeight="1">
      <c r="A44" s="441">
        <v>12</v>
      </c>
      <c r="B44" s="442" t="s">
        <v>348</v>
      </c>
      <c r="C44" s="442"/>
      <c r="D44" s="344"/>
      <c r="E44" s="1088" t="s">
        <v>242</v>
      </c>
      <c r="F44" s="1101"/>
      <c r="G44" s="1101"/>
      <c r="H44" s="1101"/>
      <c r="I44" s="1101"/>
      <c r="J44" s="1101"/>
      <c r="K44" s="1091"/>
      <c r="L44" s="436"/>
      <c r="M44" s="1088" t="s">
        <v>336</v>
      </c>
      <c r="N44" s="1101"/>
      <c r="O44" s="1101"/>
      <c r="P44" s="1091"/>
      <c r="Q44" s="490">
        <f>'Прайс опт полный '!Q45</f>
        <v>6.6</v>
      </c>
      <c r="R44" s="451" t="s">
        <v>344</v>
      </c>
      <c r="S44" s="441" t="s">
        <v>243</v>
      </c>
      <c r="T44" s="336">
        <f t="shared" si="2"/>
        <v>69.09</v>
      </c>
      <c r="U44" s="413">
        <v>396</v>
      </c>
      <c r="V44" s="333">
        <f t="shared" si="0"/>
        <v>78.03</v>
      </c>
      <c r="W44" s="459">
        <f>ROUNDUP(U44*1.15,0)</f>
        <v>456</v>
      </c>
      <c r="X44" s="337">
        <f t="shared" si="5"/>
        <v>515</v>
      </c>
    </row>
    <row r="45" spans="1:25" ht="118.5" customHeight="1">
      <c r="A45" s="358"/>
      <c r="B45" s="450" t="s">
        <v>55</v>
      </c>
      <c r="C45" s="450" t="s">
        <v>335</v>
      </c>
      <c r="D45" s="450"/>
      <c r="E45" s="1098" t="s">
        <v>218</v>
      </c>
      <c r="F45" s="1099"/>
      <c r="G45" s="1099"/>
      <c r="H45" s="1099"/>
      <c r="I45" s="1099"/>
      <c r="J45" s="1099"/>
      <c r="K45" s="1100"/>
      <c r="L45" s="359"/>
      <c r="M45" s="1098" t="s">
        <v>337</v>
      </c>
      <c r="N45" s="1099"/>
      <c r="O45" s="1099"/>
      <c r="P45" s="1100"/>
      <c r="Q45" s="417"/>
      <c r="R45" s="450" t="s">
        <v>323</v>
      </c>
      <c r="S45" s="450" t="s">
        <v>288</v>
      </c>
      <c r="T45" s="450" t="s">
        <v>256</v>
      </c>
      <c r="U45" s="450" t="s">
        <v>354</v>
      </c>
      <c r="V45" s="333"/>
      <c r="W45" s="414" t="s">
        <v>380</v>
      </c>
      <c r="X45" s="357"/>
    </row>
    <row r="46" spans="1:25" ht="26.25">
      <c r="A46" s="1198" t="s">
        <v>244</v>
      </c>
      <c r="B46" s="1198"/>
      <c r="C46" s="1198"/>
      <c r="D46" s="1198"/>
      <c r="E46" s="1198"/>
      <c r="F46" s="1198"/>
      <c r="G46" s="1198"/>
      <c r="H46" s="1198"/>
      <c r="I46" s="1198"/>
      <c r="J46" s="1198"/>
      <c r="K46" s="1198"/>
      <c r="L46" s="1198"/>
      <c r="M46" s="1198"/>
      <c r="N46" s="1198"/>
      <c r="O46" s="1198"/>
      <c r="P46" s="1198"/>
      <c r="Q46" s="1198"/>
      <c r="R46" s="1198"/>
      <c r="S46" s="1198"/>
      <c r="T46" s="1198"/>
      <c r="U46" s="1198"/>
      <c r="V46" s="1198"/>
      <c r="W46" s="1198"/>
      <c r="X46" s="1198"/>
    </row>
    <row r="47" spans="1:25" ht="24" customHeight="1">
      <c r="A47" s="1140">
        <v>13</v>
      </c>
      <c r="B47" s="1180" t="s">
        <v>360</v>
      </c>
      <c r="C47" s="1132" t="s">
        <v>33</v>
      </c>
      <c r="D47" s="446">
        <v>120</v>
      </c>
      <c r="E47" s="1151">
        <v>120</v>
      </c>
      <c r="F47" s="1152"/>
      <c r="G47" s="1152"/>
      <c r="H47" s="1152"/>
      <c r="I47" s="1152"/>
      <c r="J47" s="1152"/>
      <c r="K47" s="1153"/>
      <c r="L47" s="418"/>
      <c r="M47" s="1211">
        <f>T47/(1000/D47)</f>
        <v>11.63</v>
      </c>
      <c r="N47" s="1212"/>
      <c r="O47" s="1212"/>
      <c r="P47" s="1213"/>
      <c r="Q47" s="438">
        <f>'Прайс опт полный '!Q48</f>
        <v>43</v>
      </c>
      <c r="R47" s="1111" t="s">
        <v>324</v>
      </c>
      <c r="S47" s="438" t="s">
        <v>236</v>
      </c>
      <c r="T47" s="332">
        <f>W47/Q47</f>
        <v>96.88</v>
      </c>
      <c r="U47" s="333">
        <f>'[1]прайс пром.2'!N7</f>
        <v>3622</v>
      </c>
      <c r="V47" s="333">
        <f t="shared" si="0"/>
        <v>109.51</v>
      </c>
      <c r="W47" s="459">
        <f t="shared" si="1"/>
        <v>4166</v>
      </c>
      <c r="X47" s="456">
        <f t="shared" si="5"/>
        <v>4709</v>
      </c>
    </row>
    <row r="48" spans="1:25" ht="21.75" customHeight="1">
      <c r="A48" s="1140"/>
      <c r="B48" s="1146"/>
      <c r="C48" s="1133"/>
      <c r="D48" s="447">
        <v>120</v>
      </c>
      <c r="E48" s="1154"/>
      <c r="F48" s="1155"/>
      <c r="G48" s="1155"/>
      <c r="H48" s="1155"/>
      <c r="I48" s="1155"/>
      <c r="J48" s="1155"/>
      <c r="K48" s="1156"/>
      <c r="L48" s="418"/>
      <c r="M48" s="1211">
        <f>T48/(1000/D48)</f>
        <v>12.44</v>
      </c>
      <c r="N48" s="1212"/>
      <c r="O48" s="1212"/>
      <c r="P48" s="1213"/>
      <c r="Q48" s="490">
        <f>'Прайс опт полный '!Q49</f>
        <v>21</v>
      </c>
      <c r="R48" s="1112"/>
      <c r="S48" s="334" t="s">
        <v>161</v>
      </c>
      <c r="T48" s="332">
        <f t="shared" ref="T48:T62" si="6">W48/Q48</f>
        <v>103.67</v>
      </c>
      <c r="U48" s="457">
        <v>1893</v>
      </c>
      <c r="V48" s="333">
        <f t="shared" si="0"/>
        <v>117.19</v>
      </c>
      <c r="W48" s="459">
        <f t="shared" si="1"/>
        <v>2177</v>
      </c>
      <c r="X48" s="456">
        <f t="shared" si="5"/>
        <v>2461</v>
      </c>
    </row>
    <row r="49" spans="1:24" ht="24.75" customHeight="1">
      <c r="A49" s="1140"/>
      <c r="B49" s="1146"/>
      <c r="C49" s="1133"/>
      <c r="D49" s="447"/>
      <c r="E49" s="1154"/>
      <c r="F49" s="1155"/>
      <c r="G49" s="1155"/>
      <c r="H49" s="1155"/>
      <c r="I49" s="1155"/>
      <c r="J49" s="1155"/>
      <c r="K49" s="1156"/>
      <c r="L49" s="420"/>
      <c r="M49" s="1151" t="s">
        <v>15</v>
      </c>
      <c r="N49" s="1152"/>
      <c r="O49" s="1152"/>
      <c r="P49" s="1153"/>
      <c r="Q49" s="490">
        <f>'Прайс опт полный '!Q50</f>
        <v>2.7</v>
      </c>
      <c r="R49" s="1111" t="s">
        <v>345</v>
      </c>
      <c r="S49" s="345" t="s">
        <v>139</v>
      </c>
      <c r="T49" s="332">
        <f t="shared" si="6"/>
        <v>118.89</v>
      </c>
      <c r="U49" s="457">
        <v>279</v>
      </c>
      <c r="V49" s="333">
        <f t="shared" si="0"/>
        <v>134.44</v>
      </c>
      <c r="W49" s="459">
        <f t="shared" si="1"/>
        <v>321</v>
      </c>
      <c r="X49" s="456">
        <f t="shared" si="5"/>
        <v>363</v>
      </c>
    </row>
    <row r="50" spans="1:24" ht="28.5" customHeight="1">
      <c r="A50" s="1140"/>
      <c r="B50" s="1146"/>
      <c r="C50" s="1134"/>
      <c r="D50" s="448"/>
      <c r="E50" s="1157"/>
      <c r="F50" s="1158"/>
      <c r="G50" s="1158"/>
      <c r="H50" s="1158"/>
      <c r="I50" s="1158"/>
      <c r="J50" s="1158"/>
      <c r="K50" s="1159"/>
      <c r="L50" s="424"/>
      <c r="M50" s="1157"/>
      <c r="N50" s="1158"/>
      <c r="O50" s="1158"/>
      <c r="P50" s="1159"/>
      <c r="Q50" s="490">
        <f>'Прайс опт полный '!Q51</f>
        <v>0.95</v>
      </c>
      <c r="R50" s="1112"/>
      <c r="S50" s="345" t="s">
        <v>140</v>
      </c>
      <c r="T50" s="332">
        <f t="shared" si="6"/>
        <v>127.37</v>
      </c>
      <c r="U50" s="457">
        <v>105</v>
      </c>
      <c r="V50" s="333">
        <f t="shared" si="0"/>
        <v>144.21</v>
      </c>
      <c r="W50" s="459">
        <f t="shared" si="1"/>
        <v>121</v>
      </c>
      <c r="X50" s="456">
        <f t="shared" si="5"/>
        <v>137</v>
      </c>
    </row>
    <row r="51" spans="1:24" ht="28.5" customHeight="1">
      <c r="A51" s="1144">
        <v>14</v>
      </c>
      <c r="B51" s="1172" t="s">
        <v>361</v>
      </c>
      <c r="C51" s="1113" t="s">
        <v>33</v>
      </c>
      <c r="D51" s="443">
        <v>120</v>
      </c>
      <c r="E51" s="1160">
        <v>120</v>
      </c>
      <c r="F51" s="1161"/>
      <c r="G51" s="1161"/>
      <c r="H51" s="1161"/>
      <c r="I51" s="1161"/>
      <c r="J51" s="1161"/>
      <c r="K51" s="1162"/>
      <c r="L51" s="435"/>
      <c r="M51" s="1096">
        <f>T51/(1000/D51)</f>
        <v>11.63</v>
      </c>
      <c r="N51" s="1210"/>
      <c r="O51" s="1210"/>
      <c r="P51" s="1097"/>
      <c r="Q51" s="490">
        <f>'Прайс опт полный '!Q52</f>
        <v>43</v>
      </c>
      <c r="R51" s="1105" t="s">
        <v>324</v>
      </c>
      <c r="S51" s="441" t="s">
        <v>236</v>
      </c>
      <c r="T51" s="336">
        <f t="shared" si="6"/>
        <v>96.88</v>
      </c>
      <c r="U51" s="413">
        <v>3622</v>
      </c>
      <c r="V51" s="333">
        <f t="shared" si="0"/>
        <v>109.51</v>
      </c>
      <c r="W51" s="459">
        <v>4166</v>
      </c>
      <c r="X51" s="456">
        <v>4709</v>
      </c>
    </row>
    <row r="52" spans="1:24" ht="27">
      <c r="A52" s="1144"/>
      <c r="B52" s="1173"/>
      <c r="C52" s="1114"/>
      <c r="D52" s="444">
        <v>120</v>
      </c>
      <c r="E52" s="1163"/>
      <c r="F52" s="1164"/>
      <c r="G52" s="1164"/>
      <c r="H52" s="1164"/>
      <c r="I52" s="1164"/>
      <c r="J52" s="1164"/>
      <c r="K52" s="1165"/>
      <c r="L52" s="435"/>
      <c r="M52" s="1096">
        <f>T52/(1000/D52)</f>
        <v>12.44</v>
      </c>
      <c r="N52" s="1210"/>
      <c r="O52" s="1210"/>
      <c r="P52" s="1097"/>
      <c r="Q52" s="490">
        <f>'Прайс опт полный '!Q53</f>
        <v>21</v>
      </c>
      <c r="R52" s="1107"/>
      <c r="S52" s="338" t="s">
        <v>161</v>
      </c>
      <c r="T52" s="336">
        <f t="shared" si="6"/>
        <v>103.67</v>
      </c>
      <c r="U52" s="415">
        <v>1893</v>
      </c>
      <c r="V52" s="333">
        <f t="shared" si="0"/>
        <v>117.19</v>
      </c>
      <c r="W52" s="459">
        <v>2177</v>
      </c>
      <c r="X52" s="456">
        <v>2461</v>
      </c>
    </row>
    <row r="53" spans="1:24" ht="21" customHeight="1">
      <c r="A53" s="1144"/>
      <c r="B53" s="1173"/>
      <c r="C53" s="1114"/>
      <c r="D53" s="444"/>
      <c r="E53" s="1163"/>
      <c r="F53" s="1164"/>
      <c r="G53" s="1164"/>
      <c r="H53" s="1164"/>
      <c r="I53" s="1164"/>
      <c r="J53" s="1164"/>
      <c r="K53" s="1165"/>
      <c r="L53" s="426"/>
      <c r="M53" s="1160" t="s">
        <v>15</v>
      </c>
      <c r="N53" s="1161"/>
      <c r="O53" s="1161"/>
      <c r="P53" s="1162"/>
      <c r="Q53" s="490">
        <f>'Прайс опт полный '!Q54</f>
        <v>2.7</v>
      </c>
      <c r="R53" s="1105" t="s">
        <v>345</v>
      </c>
      <c r="S53" s="346" t="s">
        <v>139</v>
      </c>
      <c r="T53" s="336">
        <f t="shared" si="6"/>
        <v>118.89</v>
      </c>
      <c r="U53" s="415">
        <v>279</v>
      </c>
      <c r="V53" s="333">
        <f t="shared" si="0"/>
        <v>134.44</v>
      </c>
      <c r="W53" s="459">
        <v>321</v>
      </c>
      <c r="X53" s="456">
        <v>363</v>
      </c>
    </row>
    <row r="54" spans="1:24" ht="22.5" customHeight="1">
      <c r="A54" s="1144"/>
      <c r="B54" s="1174"/>
      <c r="C54" s="1115"/>
      <c r="D54" s="445"/>
      <c r="E54" s="1166"/>
      <c r="F54" s="1167"/>
      <c r="G54" s="1167"/>
      <c r="H54" s="1167"/>
      <c r="I54" s="1167"/>
      <c r="J54" s="1167"/>
      <c r="K54" s="1168"/>
      <c r="L54" s="430"/>
      <c r="M54" s="1166"/>
      <c r="N54" s="1167"/>
      <c r="O54" s="1167"/>
      <c r="P54" s="1168"/>
      <c r="Q54" s="490">
        <f>'Прайс опт полный '!Q55</f>
        <v>0.95</v>
      </c>
      <c r="R54" s="1107"/>
      <c r="S54" s="346" t="s">
        <v>140</v>
      </c>
      <c r="T54" s="336">
        <f t="shared" si="6"/>
        <v>127.37</v>
      </c>
      <c r="U54" s="415">
        <v>105</v>
      </c>
      <c r="V54" s="333">
        <f t="shared" si="0"/>
        <v>144.21</v>
      </c>
      <c r="W54" s="459">
        <v>121</v>
      </c>
      <c r="X54" s="456">
        <v>137</v>
      </c>
    </row>
    <row r="55" spans="1:24" ht="27">
      <c r="A55" s="1175">
        <v>15</v>
      </c>
      <c r="B55" s="1176" t="s">
        <v>362</v>
      </c>
      <c r="C55" s="1177" t="s">
        <v>39</v>
      </c>
      <c r="D55" s="453">
        <v>80</v>
      </c>
      <c r="E55" s="1092">
        <v>80</v>
      </c>
      <c r="F55" s="1207"/>
      <c r="G55" s="1207"/>
      <c r="H55" s="1207"/>
      <c r="I55" s="1207"/>
      <c r="J55" s="1207"/>
      <c r="K55" s="1093"/>
      <c r="L55" s="437"/>
      <c r="M55" s="1082">
        <f>T55/(1000/D55)</f>
        <v>13.44</v>
      </c>
      <c r="N55" s="1209"/>
      <c r="O55" s="1209"/>
      <c r="P55" s="1083"/>
      <c r="Q55" s="490">
        <f>'Прайс опт полный '!Q56</f>
        <v>40</v>
      </c>
      <c r="R55" s="1127" t="s">
        <v>324</v>
      </c>
      <c r="S55" s="452" t="s">
        <v>240</v>
      </c>
      <c r="T55" s="332">
        <f>W55/Q55</f>
        <v>167.98</v>
      </c>
      <c r="U55" s="333">
        <f>'[1]прайс пром.2'!N8</f>
        <v>5842</v>
      </c>
      <c r="V55" s="333">
        <f t="shared" si="0"/>
        <v>189.88</v>
      </c>
      <c r="W55" s="459">
        <f>ROUNDUP(U55*1.15,0)</f>
        <v>6719</v>
      </c>
      <c r="X55" s="337">
        <f t="shared" si="5"/>
        <v>7595</v>
      </c>
    </row>
    <row r="56" spans="1:24" ht="22.5" customHeight="1">
      <c r="A56" s="1175"/>
      <c r="B56" s="1176"/>
      <c r="C56" s="1178"/>
      <c r="D56" s="454">
        <v>80</v>
      </c>
      <c r="E56" s="1223"/>
      <c r="F56" s="1224"/>
      <c r="G56" s="1224"/>
      <c r="H56" s="1224"/>
      <c r="I56" s="1224"/>
      <c r="J56" s="1224"/>
      <c r="K56" s="1225"/>
      <c r="L56" s="437"/>
      <c r="M56" s="1082">
        <f>T56/(1000/D56)</f>
        <v>14.38</v>
      </c>
      <c r="N56" s="1209"/>
      <c r="O56" s="1209"/>
      <c r="P56" s="1083"/>
      <c r="Q56" s="490">
        <f>'Прайс опт полный '!Q57</f>
        <v>20</v>
      </c>
      <c r="R56" s="1129"/>
      <c r="S56" s="400" t="s">
        <v>162</v>
      </c>
      <c r="T56" s="332">
        <f t="shared" si="6"/>
        <v>179.75</v>
      </c>
      <c r="U56" s="457">
        <v>3126</v>
      </c>
      <c r="V56" s="333">
        <f t="shared" si="0"/>
        <v>203.2</v>
      </c>
      <c r="W56" s="459">
        <f t="shared" si="1"/>
        <v>3595</v>
      </c>
      <c r="X56" s="337">
        <f t="shared" si="5"/>
        <v>4064</v>
      </c>
    </row>
    <row r="57" spans="1:24" ht="23.25" customHeight="1">
      <c r="A57" s="1175"/>
      <c r="B57" s="1176"/>
      <c r="C57" s="1178"/>
      <c r="D57" s="454"/>
      <c r="E57" s="1223"/>
      <c r="F57" s="1224"/>
      <c r="G57" s="1224"/>
      <c r="H57" s="1224"/>
      <c r="I57" s="1224"/>
      <c r="J57" s="1224"/>
      <c r="K57" s="1225"/>
      <c r="L57" s="432"/>
      <c r="M57" s="1092" t="s">
        <v>15</v>
      </c>
      <c r="N57" s="1207"/>
      <c r="O57" s="1207"/>
      <c r="P57" s="1093"/>
      <c r="Q57" s="490">
        <f>'Прайс опт полный '!Q58</f>
        <v>2.6</v>
      </c>
      <c r="R57" s="1127" t="s">
        <v>345</v>
      </c>
      <c r="S57" s="401" t="s">
        <v>128</v>
      </c>
      <c r="T57" s="332">
        <f t="shared" si="6"/>
        <v>206.15</v>
      </c>
      <c r="U57" s="457">
        <v>466</v>
      </c>
      <c r="V57" s="333">
        <f t="shared" si="0"/>
        <v>233.08</v>
      </c>
      <c r="W57" s="459">
        <f t="shared" si="1"/>
        <v>536</v>
      </c>
      <c r="X57" s="337">
        <f t="shared" si="5"/>
        <v>606</v>
      </c>
    </row>
    <row r="58" spans="1:24" ht="21.75" customHeight="1">
      <c r="A58" s="1175"/>
      <c r="B58" s="1176"/>
      <c r="C58" s="1179"/>
      <c r="D58" s="455"/>
      <c r="E58" s="1094"/>
      <c r="F58" s="1208"/>
      <c r="G58" s="1208"/>
      <c r="H58" s="1208"/>
      <c r="I58" s="1208"/>
      <c r="J58" s="1208"/>
      <c r="K58" s="1095"/>
      <c r="L58" s="433"/>
      <c r="M58" s="1094"/>
      <c r="N58" s="1208"/>
      <c r="O58" s="1208"/>
      <c r="P58" s="1095"/>
      <c r="Q58" s="490">
        <f>'Прайс опт полный '!Q59</f>
        <v>0.9</v>
      </c>
      <c r="R58" s="1129"/>
      <c r="S58" s="400" t="s">
        <v>129</v>
      </c>
      <c r="T58" s="332">
        <f t="shared" si="6"/>
        <v>221.11</v>
      </c>
      <c r="U58" s="457">
        <v>173</v>
      </c>
      <c r="V58" s="333">
        <f t="shared" si="0"/>
        <v>250</v>
      </c>
      <c r="W58" s="459">
        <f t="shared" si="1"/>
        <v>199</v>
      </c>
      <c r="X58" s="337">
        <f t="shared" si="5"/>
        <v>225</v>
      </c>
    </row>
    <row r="59" spans="1:24" ht="27.75" customHeight="1">
      <c r="A59" s="1144">
        <v>16</v>
      </c>
      <c r="B59" s="1145" t="s">
        <v>363</v>
      </c>
      <c r="C59" s="1113" t="s">
        <v>39</v>
      </c>
      <c r="D59" s="443">
        <v>80</v>
      </c>
      <c r="E59" s="1160">
        <v>80</v>
      </c>
      <c r="F59" s="1161"/>
      <c r="G59" s="1161"/>
      <c r="H59" s="1161"/>
      <c r="I59" s="1161"/>
      <c r="J59" s="1161"/>
      <c r="K59" s="1162"/>
      <c r="L59" s="435"/>
      <c r="M59" s="1096">
        <f>T59/(1000/D59)</f>
        <v>13.44</v>
      </c>
      <c r="N59" s="1210"/>
      <c r="O59" s="1210"/>
      <c r="P59" s="1097"/>
      <c r="Q59" s="490">
        <f>'Прайс опт полный '!Q60</f>
        <v>40</v>
      </c>
      <c r="R59" s="1105" t="s">
        <v>324</v>
      </c>
      <c r="S59" s="441" t="s">
        <v>240</v>
      </c>
      <c r="T59" s="336">
        <f t="shared" si="6"/>
        <v>167.98</v>
      </c>
      <c r="U59" s="413">
        <f>U55</f>
        <v>5842</v>
      </c>
      <c r="V59" s="333">
        <f t="shared" si="0"/>
        <v>189.88</v>
      </c>
      <c r="W59" s="459">
        <f t="shared" si="1"/>
        <v>6719</v>
      </c>
      <c r="X59" s="456">
        <f t="shared" si="5"/>
        <v>7595</v>
      </c>
    </row>
    <row r="60" spans="1:24" ht="21.75" customHeight="1">
      <c r="A60" s="1144"/>
      <c r="B60" s="1145"/>
      <c r="C60" s="1114"/>
      <c r="D60" s="444">
        <v>80</v>
      </c>
      <c r="E60" s="1163"/>
      <c r="F60" s="1164"/>
      <c r="G60" s="1164"/>
      <c r="H60" s="1164"/>
      <c r="I60" s="1164"/>
      <c r="J60" s="1164"/>
      <c r="K60" s="1165"/>
      <c r="L60" s="435"/>
      <c r="M60" s="1096">
        <f>T60/(1000/D60)</f>
        <v>14.38</v>
      </c>
      <c r="N60" s="1210"/>
      <c r="O60" s="1210"/>
      <c r="P60" s="1097"/>
      <c r="Q60" s="490">
        <f>'Прайс опт полный '!Q61</f>
        <v>20</v>
      </c>
      <c r="R60" s="1107"/>
      <c r="S60" s="338" t="s">
        <v>162</v>
      </c>
      <c r="T60" s="336">
        <f t="shared" si="6"/>
        <v>179.75</v>
      </c>
      <c r="U60" s="415">
        <v>3126</v>
      </c>
      <c r="V60" s="333">
        <f t="shared" si="0"/>
        <v>203.2</v>
      </c>
      <c r="W60" s="459">
        <f t="shared" si="1"/>
        <v>3595</v>
      </c>
      <c r="X60" s="456">
        <f t="shared" si="5"/>
        <v>4064</v>
      </c>
    </row>
    <row r="61" spans="1:24" ht="27" customHeight="1">
      <c r="A61" s="1144"/>
      <c r="B61" s="1145"/>
      <c r="C61" s="1114"/>
      <c r="D61" s="444"/>
      <c r="E61" s="1163"/>
      <c r="F61" s="1164"/>
      <c r="G61" s="1164"/>
      <c r="H61" s="1164"/>
      <c r="I61" s="1164"/>
      <c r="J61" s="1164"/>
      <c r="K61" s="1165"/>
      <c r="L61" s="426"/>
      <c r="M61" s="1160" t="s">
        <v>15</v>
      </c>
      <c r="N61" s="1161"/>
      <c r="O61" s="1161"/>
      <c r="P61" s="1162"/>
      <c r="Q61" s="490">
        <f>'Прайс опт полный '!Q62</f>
        <v>2.6</v>
      </c>
      <c r="R61" s="1105" t="s">
        <v>345</v>
      </c>
      <c r="S61" s="346" t="s">
        <v>128</v>
      </c>
      <c r="T61" s="336">
        <f t="shared" si="6"/>
        <v>206.15</v>
      </c>
      <c r="U61" s="415">
        <v>466</v>
      </c>
      <c r="V61" s="333">
        <f t="shared" si="0"/>
        <v>233.08</v>
      </c>
      <c r="W61" s="459">
        <f t="shared" si="1"/>
        <v>536</v>
      </c>
      <c r="X61" s="456">
        <f t="shared" si="5"/>
        <v>606</v>
      </c>
    </row>
    <row r="62" spans="1:24" ht="21" customHeight="1">
      <c r="A62" s="1144"/>
      <c r="B62" s="1145"/>
      <c r="C62" s="1115"/>
      <c r="D62" s="445"/>
      <c r="E62" s="1166"/>
      <c r="F62" s="1167"/>
      <c r="G62" s="1167"/>
      <c r="H62" s="1167"/>
      <c r="I62" s="1167"/>
      <c r="J62" s="1167"/>
      <c r="K62" s="1168"/>
      <c r="L62" s="430"/>
      <c r="M62" s="1166"/>
      <c r="N62" s="1167"/>
      <c r="O62" s="1167"/>
      <c r="P62" s="1168"/>
      <c r="Q62" s="490">
        <f>'Прайс опт полный '!Q63</f>
        <v>0.9</v>
      </c>
      <c r="R62" s="1107"/>
      <c r="S62" s="338" t="s">
        <v>129</v>
      </c>
      <c r="T62" s="336">
        <f t="shared" si="6"/>
        <v>221.11</v>
      </c>
      <c r="U62" s="415">
        <v>173</v>
      </c>
      <c r="V62" s="333">
        <f t="shared" si="0"/>
        <v>250</v>
      </c>
      <c r="W62" s="459">
        <f t="shared" si="1"/>
        <v>199</v>
      </c>
      <c r="X62" s="456">
        <f t="shared" si="5"/>
        <v>225</v>
      </c>
    </row>
    <row r="63" spans="1:24" ht="46.5" customHeight="1">
      <c r="A63" s="1204">
        <v>17</v>
      </c>
      <c r="B63" s="1220" t="s">
        <v>381</v>
      </c>
      <c r="C63" s="403" t="s">
        <v>350</v>
      </c>
      <c r="D63" s="403"/>
      <c r="E63" s="1181">
        <v>3.8</v>
      </c>
      <c r="F63" s="1182"/>
      <c r="G63" s="1182"/>
      <c r="H63" s="1182"/>
      <c r="I63" s="1182"/>
      <c r="J63" s="1182"/>
      <c r="K63" s="1183"/>
      <c r="L63" s="405"/>
      <c r="M63" s="1214">
        <f>T63/21/12.5</f>
        <v>1.55</v>
      </c>
      <c r="N63" s="1215"/>
      <c r="O63" s="1215"/>
      <c r="P63" s="1216"/>
      <c r="Q63" s="490">
        <f>'Прайс опт полный '!Q64</f>
        <v>43</v>
      </c>
      <c r="R63" s="1204" t="s">
        <v>324</v>
      </c>
      <c r="S63" s="1194" t="s">
        <v>343</v>
      </c>
      <c r="T63" s="1191">
        <f>W63/Q64</f>
        <v>407.31</v>
      </c>
      <c r="U63" s="1256">
        <v>15230</v>
      </c>
      <c r="V63" s="1268">
        <f t="shared" si="0"/>
        <v>460.44</v>
      </c>
      <c r="W63" s="1259">
        <f>U63*1.15</f>
        <v>17514.5</v>
      </c>
      <c r="X63" s="1217">
        <f>U63*1.3</f>
        <v>19799</v>
      </c>
    </row>
    <row r="64" spans="1:24" ht="47.25" customHeight="1">
      <c r="A64" s="1205"/>
      <c r="B64" s="1221"/>
      <c r="C64" s="403" t="s">
        <v>351</v>
      </c>
      <c r="D64" s="403"/>
      <c r="E64" s="1181">
        <v>5</v>
      </c>
      <c r="F64" s="1182"/>
      <c r="G64" s="1182"/>
      <c r="H64" s="1182"/>
      <c r="I64" s="1182"/>
      <c r="J64" s="1182"/>
      <c r="K64" s="1183"/>
      <c r="L64" s="405"/>
      <c r="M64" s="1214">
        <f>T63/16/12.5</f>
        <v>2.04</v>
      </c>
      <c r="N64" s="1215"/>
      <c r="O64" s="1215"/>
      <c r="P64" s="1216"/>
      <c r="Q64" s="490">
        <f>'Прайс опт полный '!Q65</f>
        <v>43</v>
      </c>
      <c r="R64" s="1205"/>
      <c r="S64" s="1195"/>
      <c r="T64" s="1192"/>
      <c r="U64" s="1257"/>
      <c r="V64" s="1270"/>
      <c r="W64" s="1260"/>
      <c r="X64" s="1218"/>
    </row>
    <row r="65" spans="1:24" ht="46.5" customHeight="1">
      <c r="A65" s="1205"/>
      <c r="B65" s="1221"/>
      <c r="C65" s="403" t="s">
        <v>352</v>
      </c>
      <c r="D65" s="403"/>
      <c r="E65" s="1181">
        <v>7.3</v>
      </c>
      <c r="F65" s="1182"/>
      <c r="G65" s="1182"/>
      <c r="H65" s="1182"/>
      <c r="I65" s="1182"/>
      <c r="J65" s="1182"/>
      <c r="K65" s="1183"/>
      <c r="L65" s="405"/>
      <c r="M65" s="1214">
        <f>T63/11/12.5</f>
        <v>2.96</v>
      </c>
      <c r="N65" s="1215"/>
      <c r="O65" s="1215"/>
      <c r="P65" s="1216"/>
      <c r="Q65" s="490">
        <f>'Прайс опт полный '!Q66</f>
        <v>43</v>
      </c>
      <c r="R65" s="1206"/>
      <c r="S65" s="1196"/>
      <c r="T65" s="1193"/>
      <c r="U65" s="1258"/>
      <c r="V65" s="1269"/>
      <c r="W65" s="1261"/>
      <c r="X65" s="1219"/>
    </row>
    <row r="66" spans="1:24" ht="47.25" customHeight="1">
      <c r="A66" s="1205"/>
      <c r="B66" s="1221"/>
      <c r="C66" s="403" t="s">
        <v>353</v>
      </c>
      <c r="D66" s="403"/>
      <c r="E66" s="1181">
        <v>3.8</v>
      </c>
      <c r="F66" s="1182"/>
      <c r="G66" s="1182"/>
      <c r="H66" s="1182"/>
      <c r="I66" s="1182"/>
      <c r="J66" s="1182"/>
      <c r="K66" s="1183"/>
      <c r="L66" s="405"/>
      <c r="M66" s="1214">
        <f>T66/21/12.5</f>
        <v>1.63</v>
      </c>
      <c r="N66" s="1215"/>
      <c r="O66" s="1215"/>
      <c r="P66" s="1216"/>
      <c r="Q66" s="490">
        <f>'Прайс опт полный '!Q67</f>
        <v>21</v>
      </c>
      <c r="R66" s="1204" t="s">
        <v>324</v>
      </c>
      <c r="S66" s="1194"/>
      <c r="T66" s="1191">
        <f>W66/Q67</f>
        <v>427.69</v>
      </c>
      <c r="U66" s="1256">
        <v>7810</v>
      </c>
      <c r="V66" s="1268">
        <f t="shared" si="0"/>
        <v>483.48</v>
      </c>
      <c r="W66" s="1259">
        <f>U66*1.15</f>
        <v>8981.5</v>
      </c>
      <c r="X66" s="1217">
        <f>U66*1.3</f>
        <v>10153</v>
      </c>
    </row>
    <row r="67" spans="1:24" ht="43.5" customHeight="1">
      <c r="A67" s="1205"/>
      <c r="B67" s="1221"/>
      <c r="C67" s="403" t="s">
        <v>351</v>
      </c>
      <c r="D67" s="403"/>
      <c r="E67" s="1181">
        <v>5</v>
      </c>
      <c r="F67" s="1182"/>
      <c r="G67" s="1182"/>
      <c r="H67" s="1182"/>
      <c r="I67" s="1182"/>
      <c r="J67" s="1182"/>
      <c r="K67" s="1183"/>
      <c r="L67" s="405"/>
      <c r="M67" s="1214">
        <f>T66/16/12.5</f>
        <v>2.14</v>
      </c>
      <c r="N67" s="1215"/>
      <c r="O67" s="1215"/>
      <c r="P67" s="1216"/>
      <c r="Q67" s="490">
        <f>'Прайс опт полный '!Q68</f>
        <v>21</v>
      </c>
      <c r="R67" s="1205"/>
      <c r="S67" s="1195"/>
      <c r="T67" s="1192"/>
      <c r="U67" s="1257"/>
      <c r="V67" s="1270"/>
      <c r="W67" s="1260"/>
      <c r="X67" s="1218"/>
    </row>
    <row r="68" spans="1:24" ht="41.25" customHeight="1">
      <c r="A68" s="1206"/>
      <c r="B68" s="1222"/>
      <c r="C68" s="403" t="s">
        <v>352</v>
      </c>
      <c r="D68" s="403"/>
      <c r="E68" s="1181">
        <v>7.3</v>
      </c>
      <c r="F68" s="1182"/>
      <c r="G68" s="1182"/>
      <c r="H68" s="1182"/>
      <c r="I68" s="1182"/>
      <c r="J68" s="1182"/>
      <c r="K68" s="1183"/>
      <c r="L68" s="405"/>
      <c r="M68" s="1214">
        <f>T66/11/12.5</f>
        <v>3.11</v>
      </c>
      <c r="N68" s="1215"/>
      <c r="O68" s="1215"/>
      <c r="P68" s="1216"/>
      <c r="Q68" s="490">
        <f>'Прайс опт полный '!Q69</f>
        <v>21</v>
      </c>
      <c r="R68" s="1206"/>
      <c r="S68" s="1196"/>
      <c r="T68" s="1193"/>
      <c r="U68" s="1258"/>
      <c r="V68" s="1269"/>
      <c r="W68" s="1261"/>
      <c r="X68" s="1219"/>
    </row>
    <row r="69" spans="1:24" ht="95.25" customHeight="1">
      <c r="A69" s="407">
        <v>18</v>
      </c>
      <c r="B69" s="442" t="s">
        <v>364</v>
      </c>
      <c r="C69" s="451" t="s">
        <v>15</v>
      </c>
      <c r="D69" s="451"/>
      <c r="E69" s="1088" t="s">
        <v>346</v>
      </c>
      <c r="F69" s="1101"/>
      <c r="G69" s="1101"/>
      <c r="H69" s="1101"/>
      <c r="I69" s="1101"/>
      <c r="J69" s="1101"/>
      <c r="K69" s="1091"/>
      <c r="L69" s="435"/>
      <c r="M69" s="1088" t="s">
        <v>338</v>
      </c>
      <c r="N69" s="1101"/>
      <c r="O69" s="1101"/>
      <c r="P69" s="1091"/>
      <c r="Q69" s="490">
        <f>'Прайс опт полный '!Q70</f>
        <v>90</v>
      </c>
      <c r="R69" s="441" t="s">
        <v>324</v>
      </c>
      <c r="S69" s="451" t="s">
        <v>280</v>
      </c>
      <c r="T69" s="336">
        <f>W69/Q69</f>
        <v>120.76</v>
      </c>
      <c r="U69" s="333">
        <f>'[1]прайс пром.2'!N11</f>
        <v>9450</v>
      </c>
      <c r="V69" s="333">
        <f t="shared" ref="V69" si="7">X69/Q69</f>
        <v>136.5</v>
      </c>
      <c r="W69" s="459">
        <f t="shared" si="1"/>
        <v>10868</v>
      </c>
      <c r="X69" s="348">
        <f t="shared" si="5"/>
        <v>12285</v>
      </c>
    </row>
    <row r="70" spans="1:24" ht="26.25">
      <c r="A70" s="1198" t="s">
        <v>247</v>
      </c>
      <c r="B70" s="1198"/>
      <c r="C70" s="1198"/>
      <c r="D70" s="1198"/>
      <c r="E70" s="1198"/>
      <c r="F70" s="1198"/>
      <c r="G70" s="1198"/>
      <c r="H70" s="1198"/>
      <c r="I70" s="1198"/>
      <c r="J70" s="1198"/>
      <c r="K70" s="1198"/>
      <c r="L70" s="1198"/>
      <c r="M70" s="1198"/>
      <c r="N70" s="1198"/>
      <c r="O70" s="1198"/>
      <c r="P70" s="1198"/>
      <c r="Q70" s="1198"/>
      <c r="R70" s="1198"/>
      <c r="S70" s="1198"/>
      <c r="T70" s="1198"/>
      <c r="U70" s="1198"/>
      <c r="V70" s="1198"/>
      <c r="W70" s="1198"/>
      <c r="X70" s="1198"/>
    </row>
    <row r="71" spans="1:24" ht="30.75" customHeight="1">
      <c r="A71" s="1140">
        <v>19</v>
      </c>
      <c r="B71" s="1197" t="s">
        <v>365</v>
      </c>
      <c r="C71" s="1132" t="s">
        <v>105</v>
      </c>
      <c r="D71" s="446"/>
      <c r="E71" s="1203" t="s">
        <v>282</v>
      </c>
      <c r="F71" s="1203"/>
      <c r="G71" s="1203"/>
      <c r="H71" s="1203"/>
      <c r="I71" s="1203"/>
      <c r="J71" s="1203"/>
      <c r="K71" s="1203"/>
      <c r="L71" s="460"/>
      <c r="M71" s="1084" t="s">
        <v>339</v>
      </c>
      <c r="N71" s="1085"/>
      <c r="O71" s="1084" t="s">
        <v>340</v>
      </c>
      <c r="P71" s="1085"/>
      <c r="Q71" s="438"/>
      <c r="R71" s="1111" t="s">
        <v>325</v>
      </c>
      <c r="S71" s="1199" t="s">
        <v>138</v>
      </c>
      <c r="T71" s="1184">
        <f>W71/Q72</f>
        <v>129.72999999999999</v>
      </c>
      <c r="U71" s="1264">
        <v>1241</v>
      </c>
      <c r="V71" s="1268">
        <f>X71/Q72</f>
        <v>146.63999999999999</v>
      </c>
      <c r="W71" s="1265">
        <f>ROUND(U71*1.15,0)</f>
        <v>1427</v>
      </c>
      <c r="X71" s="1202">
        <f>ROUND(U71*1.3,0)</f>
        <v>1613</v>
      </c>
    </row>
    <row r="72" spans="1:24" ht="24.75" customHeight="1">
      <c r="A72" s="1140"/>
      <c r="B72" s="1197"/>
      <c r="C72" s="1133"/>
      <c r="D72" s="447">
        <v>90</v>
      </c>
      <c r="E72" s="1138" t="s">
        <v>281</v>
      </c>
      <c r="F72" s="1138"/>
      <c r="G72" s="1138"/>
      <c r="H72" s="1138"/>
      <c r="I72" s="1138"/>
      <c r="J72" s="1138"/>
      <c r="K72" s="1138"/>
      <c r="L72" s="418">
        <v>220</v>
      </c>
      <c r="M72" s="1086" t="str">
        <f>CONCATENATE(ROUND(T71*0.09,2),"-",ROUND(T71*0.22,2))</f>
        <v>11,68-28,54</v>
      </c>
      <c r="N72" s="1087"/>
      <c r="O72" s="1086" t="str">
        <f>CONCATENATE(ROUND(Q72*1000/L72,2),"-",ROUND(Q72*1000/D72,2))</f>
        <v>50-122,22</v>
      </c>
      <c r="P72" s="1087"/>
      <c r="Q72" s="438">
        <f>'Прайс опт полный '!Q73</f>
        <v>11</v>
      </c>
      <c r="R72" s="1150"/>
      <c r="S72" s="1200"/>
      <c r="T72" s="1185"/>
      <c r="U72" s="1264"/>
      <c r="V72" s="1269"/>
      <c r="W72" s="1265"/>
      <c r="X72" s="1202"/>
    </row>
    <row r="73" spans="1:24" ht="32.25" customHeight="1">
      <c r="A73" s="1140"/>
      <c r="B73" s="1197"/>
      <c r="C73" s="1133"/>
      <c r="D73" s="447">
        <v>90</v>
      </c>
      <c r="E73" s="1138"/>
      <c r="F73" s="1138"/>
      <c r="G73" s="1138"/>
      <c r="H73" s="1138"/>
      <c r="I73" s="1138"/>
      <c r="J73" s="1138"/>
      <c r="K73" s="1138"/>
      <c r="L73" s="418">
        <v>220</v>
      </c>
      <c r="M73" s="1086" t="str">
        <f>CONCATENATE(ROUND(T73*0.09,2),"-",ROUND(T73*0.22,2))</f>
        <v>12,85-31,4</v>
      </c>
      <c r="N73" s="1090"/>
      <c r="O73" s="1086" t="str">
        <f>CONCATENATE(ROUND(Q73*1000/L73,2),"-",ROUND(Q73*1000/D73,2))</f>
        <v>15-36,67</v>
      </c>
      <c r="P73" s="1087"/>
      <c r="Q73" s="490">
        <f>'Прайс опт полный '!Q74</f>
        <v>3.3</v>
      </c>
      <c r="R73" s="1112"/>
      <c r="S73" s="334" t="s">
        <v>137</v>
      </c>
      <c r="T73" s="332">
        <f>W73/Q73</f>
        <v>142.72999999999999</v>
      </c>
      <c r="U73" s="457">
        <v>409</v>
      </c>
      <c r="V73" s="461">
        <f>X73/Q73</f>
        <v>161.21</v>
      </c>
      <c r="W73" s="459">
        <f t="shared" ref="W73:W82" si="8">ROUNDUP(U73*1.15,0)</f>
        <v>471</v>
      </c>
      <c r="X73" s="456">
        <f t="shared" ref="X73:X83" si="9">ROUNDUP(U73*1.3,0)</f>
        <v>532</v>
      </c>
    </row>
    <row r="74" spans="1:24" ht="39" customHeight="1">
      <c r="A74" s="1140"/>
      <c r="B74" s="1197"/>
      <c r="C74" s="1134"/>
      <c r="D74" s="447">
        <v>90</v>
      </c>
      <c r="E74" s="1138"/>
      <c r="F74" s="1138"/>
      <c r="G74" s="1138"/>
      <c r="H74" s="1138"/>
      <c r="I74" s="1138"/>
      <c r="J74" s="1138"/>
      <c r="K74" s="1138"/>
      <c r="L74" s="418">
        <v>220</v>
      </c>
      <c r="M74" s="1086" t="str">
        <f>CONCATENATE(ROUND(T74*0.09,2),"-",ROUND(T74*0.22,2))</f>
        <v>13,74-33,58</v>
      </c>
      <c r="N74" s="1090"/>
      <c r="O74" s="1086" t="str">
        <f t="shared" ref="O74:O79" si="10">CONCATENATE(ROUND(Q74*1000/L74,2),"-",ROUND(Q74*1000/D74,2))</f>
        <v>4,32-10,56</v>
      </c>
      <c r="P74" s="1087"/>
      <c r="Q74" s="490">
        <f>'Прайс опт полный '!Q75</f>
        <v>0.95</v>
      </c>
      <c r="R74" s="438" t="s">
        <v>347</v>
      </c>
      <c r="S74" s="334" t="s">
        <v>136</v>
      </c>
      <c r="T74" s="332">
        <f>W74/Q74</f>
        <v>152.63</v>
      </c>
      <c r="U74" s="457">
        <v>126</v>
      </c>
      <c r="V74" s="461">
        <f>X74/Q74</f>
        <v>172.63</v>
      </c>
      <c r="W74" s="459">
        <f t="shared" si="8"/>
        <v>145</v>
      </c>
      <c r="X74" s="456">
        <f t="shared" si="9"/>
        <v>164</v>
      </c>
    </row>
    <row r="75" spans="1:24" ht="67.5" customHeight="1">
      <c r="A75" s="1144">
        <v>20</v>
      </c>
      <c r="B75" s="1145" t="s">
        <v>366</v>
      </c>
      <c r="C75" s="1113" t="s">
        <v>144</v>
      </c>
      <c r="D75" s="443">
        <v>60</v>
      </c>
      <c r="E75" s="1130" t="s">
        <v>145</v>
      </c>
      <c r="F75" s="1130"/>
      <c r="G75" s="1130"/>
      <c r="H75" s="1130"/>
      <c r="I75" s="1130"/>
      <c r="J75" s="1130"/>
      <c r="K75" s="1130"/>
      <c r="L75" s="435">
        <v>90</v>
      </c>
      <c r="M75" s="1088" t="str">
        <f>CONCATENATE(ROUND(T75*0.06,2),"-",ROUND(T75*0.09,2))</f>
        <v>8,78-13,17</v>
      </c>
      <c r="N75" s="1091"/>
      <c r="O75" s="1088" t="str">
        <f t="shared" si="10"/>
        <v>30-45</v>
      </c>
      <c r="P75" s="1089"/>
      <c r="Q75" s="490">
        <f>'Прайс опт полный '!Q76</f>
        <v>2.7</v>
      </c>
      <c r="R75" s="441" t="s">
        <v>325</v>
      </c>
      <c r="S75" s="338" t="s">
        <v>142</v>
      </c>
      <c r="T75" s="336">
        <f>W75/Q75</f>
        <v>146.30000000000001</v>
      </c>
      <c r="U75" s="457">
        <v>343</v>
      </c>
      <c r="V75" s="461">
        <f>X75/Q75</f>
        <v>165.19</v>
      </c>
      <c r="W75" s="459">
        <f t="shared" si="8"/>
        <v>395</v>
      </c>
      <c r="X75" s="337">
        <f t="shared" si="9"/>
        <v>446</v>
      </c>
    </row>
    <row r="76" spans="1:24" ht="57" customHeight="1">
      <c r="A76" s="1144"/>
      <c r="B76" s="1145"/>
      <c r="C76" s="1115"/>
      <c r="D76" s="443">
        <v>60</v>
      </c>
      <c r="E76" s="1130"/>
      <c r="F76" s="1130"/>
      <c r="G76" s="1130"/>
      <c r="H76" s="1130"/>
      <c r="I76" s="1130"/>
      <c r="J76" s="1130"/>
      <c r="K76" s="1130"/>
      <c r="L76" s="435">
        <v>90</v>
      </c>
      <c r="M76" s="1088" t="str">
        <f>CONCATENATE(ROUND(T76*0.09,2),"-",ROUND(T76*0.22,2))</f>
        <v>14,5-35,44</v>
      </c>
      <c r="N76" s="1091"/>
      <c r="O76" s="1088" t="str">
        <f t="shared" si="10"/>
        <v>10-15</v>
      </c>
      <c r="P76" s="1089"/>
      <c r="Q76" s="490">
        <f>'Прайс опт полный '!Q77</f>
        <v>0.9</v>
      </c>
      <c r="R76" s="441" t="s">
        <v>347</v>
      </c>
      <c r="S76" s="338" t="s">
        <v>141</v>
      </c>
      <c r="T76" s="336">
        <f>W76/Q76</f>
        <v>161.11000000000001</v>
      </c>
      <c r="U76" s="457">
        <v>126</v>
      </c>
      <c r="V76" s="461">
        <f>X76/Q76</f>
        <v>182.22</v>
      </c>
      <c r="W76" s="459">
        <f t="shared" si="8"/>
        <v>145</v>
      </c>
      <c r="X76" s="337">
        <f t="shared" si="9"/>
        <v>164</v>
      </c>
    </row>
    <row r="77" spans="1:24" ht="19.5" customHeight="1">
      <c r="A77" s="1140">
        <v>21</v>
      </c>
      <c r="B77" s="1197" t="s">
        <v>367</v>
      </c>
      <c r="C77" s="1132" t="s">
        <v>12</v>
      </c>
      <c r="D77" s="443">
        <v>60</v>
      </c>
      <c r="E77" s="1203" t="s">
        <v>218</v>
      </c>
      <c r="F77" s="1203"/>
      <c r="G77" s="1203"/>
      <c r="H77" s="1203"/>
      <c r="I77" s="1203"/>
      <c r="J77" s="1203"/>
      <c r="K77" s="1203"/>
      <c r="L77" s="460"/>
      <c r="M77" s="1092" t="str">
        <f>CONCATENATE(ROUND(T77*0.06,2),"-",ROUND(T77*0.12,2))</f>
        <v>2,81-5,62</v>
      </c>
      <c r="N77" s="1093"/>
      <c r="O77" s="1092" t="str">
        <f>CONCATENATE(ROUND(Q77*1000/L78,2),"-",ROUND(Q77*1000/D78,2))</f>
        <v>87,5-175</v>
      </c>
      <c r="P77" s="1093"/>
      <c r="Q77" s="1111">
        <v>10.5</v>
      </c>
      <c r="R77" s="1111" t="s">
        <v>325</v>
      </c>
      <c r="S77" s="1199" t="s">
        <v>131</v>
      </c>
      <c r="T77" s="1184">
        <f>W77/Q77</f>
        <v>46.86</v>
      </c>
      <c r="U77" s="1266">
        <v>427</v>
      </c>
      <c r="V77" s="1256">
        <f>X77/Q77</f>
        <v>52.95</v>
      </c>
      <c r="W77" s="1267">
        <f>ROUNDUP(U77*1.15,0)</f>
        <v>492</v>
      </c>
      <c r="X77" s="1187">
        <f>ROUNDUP(U77*1.3,0)</f>
        <v>556</v>
      </c>
    </row>
    <row r="78" spans="1:24" ht="29.25" customHeight="1">
      <c r="A78" s="1140"/>
      <c r="B78" s="1197"/>
      <c r="C78" s="1133"/>
      <c r="D78" s="443">
        <v>60</v>
      </c>
      <c r="E78" s="1138" t="s">
        <v>116</v>
      </c>
      <c r="F78" s="1138"/>
      <c r="G78" s="1138"/>
      <c r="H78" s="1138"/>
      <c r="I78" s="1138"/>
      <c r="J78" s="1138"/>
      <c r="K78" s="1138"/>
      <c r="L78" s="418">
        <v>120</v>
      </c>
      <c r="M78" s="1094"/>
      <c r="N78" s="1095"/>
      <c r="O78" s="1094"/>
      <c r="P78" s="1095"/>
      <c r="Q78" s="1112"/>
      <c r="R78" s="1150"/>
      <c r="S78" s="1200"/>
      <c r="T78" s="1185"/>
      <c r="U78" s="1266"/>
      <c r="V78" s="1258"/>
      <c r="W78" s="1267"/>
      <c r="X78" s="1187"/>
    </row>
    <row r="79" spans="1:24" ht="42.75" customHeight="1">
      <c r="A79" s="1140"/>
      <c r="B79" s="1197"/>
      <c r="C79" s="1134"/>
      <c r="D79" s="443">
        <v>60</v>
      </c>
      <c r="E79" s="1138"/>
      <c r="F79" s="1138"/>
      <c r="G79" s="1138"/>
      <c r="H79" s="1138"/>
      <c r="I79" s="1138"/>
      <c r="J79" s="1138"/>
      <c r="K79" s="1138"/>
      <c r="L79" s="418">
        <v>120</v>
      </c>
      <c r="M79" s="1086" t="str">
        <f>CONCATENATE(ROUND(T79*0.09,2),"-",ROUND(T79*0.12,2))</f>
        <v>4,53-6,04</v>
      </c>
      <c r="N79" s="1090"/>
      <c r="O79" s="1086" t="str">
        <f t="shared" si="10"/>
        <v>27,5-55</v>
      </c>
      <c r="P79" s="1087"/>
      <c r="Q79" s="438">
        <v>3.3</v>
      </c>
      <c r="R79" s="1112"/>
      <c r="S79" s="334" t="s">
        <v>130</v>
      </c>
      <c r="T79" s="332">
        <f>W79/Q79</f>
        <v>50.3</v>
      </c>
      <c r="U79" s="457">
        <v>144</v>
      </c>
      <c r="V79" s="461">
        <f>X79/Q79</f>
        <v>56.97</v>
      </c>
      <c r="W79" s="459">
        <f t="shared" si="8"/>
        <v>166</v>
      </c>
      <c r="X79" s="456">
        <f t="shared" si="9"/>
        <v>188</v>
      </c>
    </row>
    <row r="80" spans="1:24" ht="54.75" customHeight="1">
      <c r="A80" s="1144">
        <v>22</v>
      </c>
      <c r="B80" s="1145" t="s">
        <v>368</v>
      </c>
      <c r="C80" s="1113" t="s">
        <v>22</v>
      </c>
      <c r="D80" s="443">
        <v>120</v>
      </c>
      <c r="E80" s="1130">
        <v>120</v>
      </c>
      <c r="F80" s="1130"/>
      <c r="G80" s="1130"/>
      <c r="H80" s="1130"/>
      <c r="I80" s="1130"/>
      <c r="J80" s="1130"/>
      <c r="K80" s="1130"/>
      <c r="L80" s="435">
        <v>120</v>
      </c>
      <c r="M80" s="1088">
        <f>T80/(1000/E80)</f>
        <v>10.904400000000001</v>
      </c>
      <c r="N80" s="1091"/>
      <c r="O80" s="1088" t="str">
        <f>CONCATENATE(ROUND(Q80*1000/L80,2))</f>
        <v>125</v>
      </c>
      <c r="P80" s="1089"/>
      <c r="Q80" s="490">
        <f>'Прайс опт полный '!Q81</f>
        <v>15</v>
      </c>
      <c r="R80" s="1105" t="s">
        <v>325</v>
      </c>
      <c r="S80" s="338" t="s">
        <v>133</v>
      </c>
      <c r="T80" s="336">
        <f>W80/Q80</f>
        <v>90.87</v>
      </c>
      <c r="U80" s="457">
        <v>1185</v>
      </c>
      <c r="V80" s="461">
        <f>X80/Q80</f>
        <v>102.73</v>
      </c>
      <c r="W80" s="459">
        <f t="shared" si="8"/>
        <v>1363</v>
      </c>
      <c r="X80" s="337">
        <f t="shared" si="9"/>
        <v>1541</v>
      </c>
    </row>
    <row r="81" spans="1:24" ht="64.5" customHeight="1">
      <c r="A81" s="1144"/>
      <c r="B81" s="1145"/>
      <c r="C81" s="1115"/>
      <c r="D81" s="445">
        <v>120</v>
      </c>
      <c r="E81" s="1130"/>
      <c r="F81" s="1130"/>
      <c r="G81" s="1130"/>
      <c r="H81" s="1130"/>
      <c r="I81" s="1130"/>
      <c r="J81" s="1130"/>
      <c r="K81" s="1130"/>
      <c r="L81" s="435">
        <v>120</v>
      </c>
      <c r="M81" s="1096">
        <f>T81/(1000/120)</f>
        <v>11.71</v>
      </c>
      <c r="N81" s="1097"/>
      <c r="O81" s="1088" t="str">
        <f t="shared" ref="O81" si="11">CONCATENATE(ROUND(Q81*1000/L81,2))</f>
        <v>37,5</v>
      </c>
      <c r="P81" s="1089"/>
      <c r="Q81" s="490">
        <f>'Прайс опт полный '!Q82</f>
        <v>4.5</v>
      </c>
      <c r="R81" s="1107"/>
      <c r="S81" s="338" t="s">
        <v>132</v>
      </c>
      <c r="T81" s="336">
        <f>W81/Q81</f>
        <v>97.56</v>
      </c>
      <c r="U81" s="457">
        <v>381</v>
      </c>
      <c r="V81" s="461">
        <f>X81/Q81</f>
        <v>110.22</v>
      </c>
      <c r="W81" s="459">
        <f t="shared" si="8"/>
        <v>439</v>
      </c>
      <c r="X81" s="337">
        <f t="shared" si="9"/>
        <v>496</v>
      </c>
    </row>
    <row r="82" spans="1:24" ht="43.5" customHeight="1">
      <c r="A82" s="1111">
        <v>23</v>
      </c>
      <c r="B82" s="1197" t="s">
        <v>369</v>
      </c>
      <c r="C82" s="1132" t="s">
        <v>22</v>
      </c>
      <c r="D82" s="446">
        <v>120</v>
      </c>
      <c r="E82" s="1138">
        <v>120</v>
      </c>
      <c r="F82" s="1138"/>
      <c r="G82" s="1138"/>
      <c r="H82" s="1138"/>
      <c r="I82" s="1138"/>
      <c r="J82" s="1138"/>
      <c r="K82" s="1138"/>
      <c r="L82" s="434">
        <v>120</v>
      </c>
      <c r="M82" s="1082">
        <f>T82/(1000/120)</f>
        <v>14.69</v>
      </c>
      <c r="N82" s="1083"/>
      <c r="O82" s="1086" t="str">
        <f>CONCATENATE(ROUND(Q82*1000/L82,2))</f>
        <v>91,67</v>
      </c>
      <c r="P82" s="1087"/>
      <c r="Q82" s="490">
        <f>'Прайс опт полный '!Q83</f>
        <v>11</v>
      </c>
      <c r="R82" s="1111" t="s">
        <v>325</v>
      </c>
      <c r="S82" s="334" t="s">
        <v>135</v>
      </c>
      <c r="T82" s="332">
        <f>W82/Q82</f>
        <v>122.45</v>
      </c>
      <c r="U82" s="457">
        <v>1171</v>
      </c>
      <c r="V82" s="461">
        <f>X82/Q82</f>
        <v>138.44999999999999</v>
      </c>
      <c r="W82" s="459">
        <f t="shared" si="8"/>
        <v>1347</v>
      </c>
      <c r="X82" s="456">
        <f t="shared" si="9"/>
        <v>1523</v>
      </c>
    </row>
    <row r="83" spans="1:24" ht="69" customHeight="1">
      <c r="A83" s="1112"/>
      <c r="B83" s="1197"/>
      <c r="C83" s="1134"/>
      <c r="D83" s="448">
        <v>120</v>
      </c>
      <c r="E83" s="1138"/>
      <c r="F83" s="1138"/>
      <c r="G83" s="1138"/>
      <c r="H83" s="1138"/>
      <c r="I83" s="1138"/>
      <c r="J83" s="1138"/>
      <c r="K83" s="1138"/>
      <c r="L83" s="434">
        <v>120</v>
      </c>
      <c r="M83" s="1082">
        <f>T83/(1000/120)</f>
        <v>15.78</v>
      </c>
      <c r="N83" s="1083"/>
      <c r="O83" s="1086" t="str">
        <f>CONCATENATE(ROUND(Q83*1000/L83,2))</f>
        <v>28,33</v>
      </c>
      <c r="P83" s="1087"/>
      <c r="Q83" s="490">
        <f>'Прайс опт полный '!Q84</f>
        <v>3.4</v>
      </c>
      <c r="R83" s="1112"/>
      <c r="S83" s="351" t="s">
        <v>134</v>
      </c>
      <c r="T83" s="352">
        <f>W83/Q83</f>
        <v>131.47</v>
      </c>
      <c r="U83" s="457">
        <v>388</v>
      </c>
      <c r="V83" s="461">
        <f>X83/Q83</f>
        <v>148.53</v>
      </c>
      <c r="W83" s="459">
        <f>ROUNDUP(U83*1.15,0)</f>
        <v>447</v>
      </c>
      <c r="X83" s="456">
        <f t="shared" si="9"/>
        <v>505</v>
      </c>
    </row>
  </sheetData>
  <mergeCells count="248">
    <mergeCell ref="C1:M1"/>
    <mergeCell ref="Q1:T1"/>
    <mergeCell ref="A2:X2"/>
    <mergeCell ref="A3:A4"/>
    <mergeCell ref="B3:B4"/>
    <mergeCell ref="C3:C4"/>
    <mergeCell ref="E3:K3"/>
    <mergeCell ref="M3:P3"/>
    <mergeCell ref="R3:R4"/>
    <mergeCell ref="S3:S4"/>
    <mergeCell ref="V3:V4"/>
    <mergeCell ref="U3:U4"/>
    <mergeCell ref="W3:W4"/>
    <mergeCell ref="X3:X4"/>
    <mergeCell ref="T3:T4"/>
    <mergeCell ref="A5:X5"/>
    <mergeCell ref="A6:A10"/>
    <mergeCell ref="B6:B10"/>
    <mergeCell ref="C6:C10"/>
    <mergeCell ref="E6:E10"/>
    <mergeCell ref="G6:G10"/>
    <mergeCell ref="I6:I10"/>
    <mergeCell ref="K6:K10"/>
    <mergeCell ref="R6:R7"/>
    <mergeCell ref="M8:M10"/>
    <mergeCell ref="N8:N10"/>
    <mergeCell ref="O8:O10"/>
    <mergeCell ref="P8:P10"/>
    <mergeCell ref="R8:R10"/>
    <mergeCell ref="K11:K15"/>
    <mergeCell ref="R11:R12"/>
    <mergeCell ref="M13:M15"/>
    <mergeCell ref="N13:N15"/>
    <mergeCell ref="O13:O15"/>
    <mergeCell ref="P13:P15"/>
    <mergeCell ref="R13:R15"/>
    <mergeCell ref="A11:A15"/>
    <mergeCell ref="B11:B15"/>
    <mergeCell ref="C11:C15"/>
    <mergeCell ref="E11:E15"/>
    <mergeCell ref="G11:G15"/>
    <mergeCell ref="I11:I15"/>
    <mergeCell ref="K16:K20"/>
    <mergeCell ref="R16:R17"/>
    <mergeCell ref="M18:M20"/>
    <mergeCell ref="N18:N20"/>
    <mergeCell ref="O18:O20"/>
    <mergeCell ref="P18:P20"/>
    <mergeCell ref="R18:R20"/>
    <mergeCell ref="A16:A20"/>
    <mergeCell ref="B16:B20"/>
    <mergeCell ref="C16:C20"/>
    <mergeCell ref="E16:E20"/>
    <mergeCell ref="G16:G20"/>
    <mergeCell ref="I16:I20"/>
    <mergeCell ref="K21:K25"/>
    <mergeCell ref="R21:R22"/>
    <mergeCell ref="M23:M25"/>
    <mergeCell ref="N23:N25"/>
    <mergeCell ref="O23:O25"/>
    <mergeCell ref="P23:P25"/>
    <mergeCell ref="R23:R25"/>
    <mergeCell ref="A21:A25"/>
    <mergeCell ref="B21:B25"/>
    <mergeCell ref="C21:C25"/>
    <mergeCell ref="E21:E25"/>
    <mergeCell ref="G21:G25"/>
    <mergeCell ref="I21:I25"/>
    <mergeCell ref="P27:P30"/>
    <mergeCell ref="R27:R28"/>
    <mergeCell ref="G28:G30"/>
    <mergeCell ref="I28:I30"/>
    <mergeCell ref="R29:R30"/>
    <mergeCell ref="A31:A33"/>
    <mergeCell ref="B31:B33"/>
    <mergeCell ref="C31:C33"/>
    <mergeCell ref="E31:K33"/>
    <mergeCell ref="M31:P31"/>
    <mergeCell ref="A27:A30"/>
    <mergeCell ref="B27:B30"/>
    <mergeCell ref="C27:C30"/>
    <mergeCell ref="E27:E30"/>
    <mergeCell ref="K27:K30"/>
    <mergeCell ref="M27:M30"/>
    <mergeCell ref="M36:P36"/>
    <mergeCell ref="A37:A39"/>
    <mergeCell ref="B37:B39"/>
    <mergeCell ref="C37:C39"/>
    <mergeCell ref="E37:K39"/>
    <mergeCell ref="M37:P37"/>
    <mergeCell ref="M38:P38"/>
    <mergeCell ref="M32:P32"/>
    <mergeCell ref="R32:R33"/>
    <mergeCell ref="M33:P33"/>
    <mergeCell ref="A34:A36"/>
    <mergeCell ref="B34:B36"/>
    <mergeCell ref="C34:C36"/>
    <mergeCell ref="E34:K36"/>
    <mergeCell ref="M34:P34"/>
    <mergeCell ref="M35:P35"/>
    <mergeCell ref="R35:R36"/>
    <mergeCell ref="E43:K43"/>
    <mergeCell ref="M43:P43"/>
    <mergeCell ref="E44:K44"/>
    <mergeCell ref="M44:P44"/>
    <mergeCell ref="E45:K45"/>
    <mergeCell ref="M45:P45"/>
    <mergeCell ref="R38:R39"/>
    <mergeCell ref="M39:P39"/>
    <mergeCell ref="A40:A42"/>
    <mergeCell ref="B40:B42"/>
    <mergeCell ref="C40:C42"/>
    <mergeCell ref="E40:K42"/>
    <mergeCell ref="M40:P40"/>
    <mergeCell ref="M41:P41"/>
    <mergeCell ref="R41:R42"/>
    <mergeCell ref="M42:P42"/>
    <mergeCell ref="A46:X46"/>
    <mergeCell ref="A47:A50"/>
    <mergeCell ref="B47:B50"/>
    <mergeCell ref="C47:C50"/>
    <mergeCell ref="E47:K50"/>
    <mergeCell ref="M47:P47"/>
    <mergeCell ref="R47:R48"/>
    <mergeCell ref="M48:P48"/>
    <mergeCell ref="M49:P50"/>
    <mergeCell ref="R49:R50"/>
    <mergeCell ref="A51:A54"/>
    <mergeCell ref="B51:B54"/>
    <mergeCell ref="C51:C54"/>
    <mergeCell ref="E51:K54"/>
    <mergeCell ref="M51:P51"/>
    <mergeCell ref="R51:R52"/>
    <mergeCell ref="M52:P52"/>
    <mergeCell ref="M53:P54"/>
    <mergeCell ref="R53:R54"/>
    <mergeCell ref="A55:A58"/>
    <mergeCell ref="B55:B58"/>
    <mergeCell ref="C55:C58"/>
    <mergeCell ref="E55:K58"/>
    <mergeCell ref="M55:P55"/>
    <mergeCell ref="R55:R56"/>
    <mergeCell ref="M56:P56"/>
    <mergeCell ref="M57:P58"/>
    <mergeCell ref="R57:R58"/>
    <mergeCell ref="A59:A62"/>
    <mergeCell ref="B59:B62"/>
    <mergeCell ref="C59:C62"/>
    <mergeCell ref="E59:K62"/>
    <mergeCell ref="M59:P59"/>
    <mergeCell ref="R59:R60"/>
    <mergeCell ref="M60:P60"/>
    <mergeCell ref="M61:P62"/>
    <mergeCell ref="R61:R62"/>
    <mergeCell ref="A63:A68"/>
    <mergeCell ref="B63:B68"/>
    <mergeCell ref="E63:K63"/>
    <mergeCell ref="M63:P63"/>
    <mergeCell ref="R63:R65"/>
    <mergeCell ref="S63:S65"/>
    <mergeCell ref="E66:K66"/>
    <mergeCell ref="M66:P66"/>
    <mergeCell ref="R66:R68"/>
    <mergeCell ref="S66:S68"/>
    <mergeCell ref="T66:T68"/>
    <mergeCell ref="U66:U68"/>
    <mergeCell ref="W66:W68"/>
    <mergeCell ref="X66:X68"/>
    <mergeCell ref="E67:K67"/>
    <mergeCell ref="M67:P67"/>
    <mergeCell ref="E68:K68"/>
    <mergeCell ref="M68:P68"/>
    <mergeCell ref="T63:T65"/>
    <mergeCell ref="U63:U65"/>
    <mergeCell ref="W63:W65"/>
    <mergeCell ref="X63:X65"/>
    <mergeCell ref="E64:K64"/>
    <mergeCell ref="M64:P64"/>
    <mergeCell ref="E65:K65"/>
    <mergeCell ref="M65:P65"/>
    <mergeCell ref="V63:V65"/>
    <mergeCell ref="V66:V68"/>
    <mergeCell ref="E69:K69"/>
    <mergeCell ref="M69:P69"/>
    <mergeCell ref="A70:X70"/>
    <mergeCell ref="A71:A74"/>
    <mergeCell ref="B71:B74"/>
    <mergeCell ref="C71:C74"/>
    <mergeCell ref="E71:K71"/>
    <mergeCell ref="M71:N71"/>
    <mergeCell ref="O71:P71"/>
    <mergeCell ref="R71:R73"/>
    <mergeCell ref="V71:V72"/>
    <mergeCell ref="S71:S72"/>
    <mergeCell ref="T71:T72"/>
    <mergeCell ref="U71:U72"/>
    <mergeCell ref="W71:W72"/>
    <mergeCell ref="X71:X72"/>
    <mergeCell ref="E72:K74"/>
    <mergeCell ref="M72:N72"/>
    <mergeCell ref="O72:P72"/>
    <mergeCell ref="M73:N73"/>
    <mergeCell ref="O73:P73"/>
    <mergeCell ref="M74:N74"/>
    <mergeCell ref="O74:P74"/>
    <mergeCell ref="A75:A76"/>
    <mergeCell ref="B75:B76"/>
    <mergeCell ref="C75:C76"/>
    <mergeCell ref="E75:K76"/>
    <mergeCell ref="M75:N75"/>
    <mergeCell ref="O75:P75"/>
    <mergeCell ref="M76:N76"/>
    <mergeCell ref="O76:P76"/>
    <mergeCell ref="R77:R79"/>
    <mergeCell ref="S77:S78"/>
    <mergeCell ref="T77:T78"/>
    <mergeCell ref="U77:U78"/>
    <mergeCell ref="W77:W78"/>
    <mergeCell ref="X77:X78"/>
    <mergeCell ref="A77:A79"/>
    <mergeCell ref="B77:B79"/>
    <mergeCell ref="C77:C79"/>
    <mergeCell ref="E77:K77"/>
    <mergeCell ref="M77:N78"/>
    <mergeCell ref="O77:P78"/>
    <mergeCell ref="E78:K79"/>
    <mergeCell ref="M79:N79"/>
    <mergeCell ref="O79:P79"/>
    <mergeCell ref="Q77:Q78"/>
    <mergeCell ref="V77:V78"/>
    <mergeCell ref="M83:N83"/>
    <mergeCell ref="O83:P83"/>
    <mergeCell ref="R80:R81"/>
    <mergeCell ref="M81:N81"/>
    <mergeCell ref="O81:P81"/>
    <mergeCell ref="A82:A83"/>
    <mergeCell ref="B82:B83"/>
    <mergeCell ref="C82:C83"/>
    <mergeCell ref="E82:K83"/>
    <mergeCell ref="M82:N82"/>
    <mergeCell ref="O82:P82"/>
    <mergeCell ref="R82:R83"/>
    <mergeCell ref="A80:A81"/>
    <mergeCell ref="B80:B81"/>
    <mergeCell ref="C80:C81"/>
    <mergeCell ref="E80:K81"/>
    <mergeCell ref="M80:N80"/>
    <mergeCell ref="O80:P8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32" sqref="H32:H33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  <pageSetUpPr fitToPage="1"/>
  </sheetPr>
  <dimension ref="A1:Q35"/>
  <sheetViews>
    <sheetView view="pageBreakPreview" topLeftCell="A10" zoomScale="40" zoomScaleNormal="40" zoomScaleSheetLayoutView="40" workbookViewId="0">
      <selection activeCell="K27" sqref="K27:L27"/>
    </sheetView>
  </sheetViews>
  <sheetFormatPr defaultRowHeight="12.75"/>
  <cols>
    <col min="1" max="1" width="7.7109375" customWidth="1"/>
    <col min="2" max="2" width="16.7109375" customWidth="1"/>
    <col min="3" max="3" width="189.7109375" customWidth="1"/>
    <col min="4" max="4" width="32.85546875" customWidth="1"/>
    <col min="5" max="5" width="36.42578125" customWidth="1"/>
    <col min="6" max="6" width="39.28515625" customWidth="1"/>
    <col min="9" max="9" width="9.5703125" customWidth="1"/>
    <col min="10" max="10" width="17.140625" customWidth="1"/>
    <col min="11" max="11" width="14.28515625" customWidth="1"/>
    <col min="12" max="12" width="24.140625" customWidth="1"/>
    <col min="13" max="13" width="38.5703125" customWidth="1"/>
    <col min="14" max="14" width="38.85546875" customWidth="1"/>
    <col min="16" max="16" width="19.42578125" customWidth="1"/>
    <col min="17" max="17" width="18.85546875" customWidth="1"/>
  </cols>
  <sheetData>
    <row r="1" spans="1:14" ht="64.5" customHeight="1">
      <c r="C1" s="743" t="s">
        <v>94</v>
      </c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</row>
    <row r="2" spans="1:14" ht="19.5" customHeight="1">
      <c r="A2" s="132"/>
      <c r="B2" s="132"/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</row>
    <row r="3" spans="1:14" ht="51" customHeight="1">
      <c r="A3" s="751" t="s">
        <v>32</v>
      </c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</row>
    <row r="4" spans="1:14" ht="32.25" customHeight="1" thickBot="1">
      <c r="A4" s="41" t="str">
        <f>'Прайс пром.'!A3:C3</f>
        <v>Действует с 15.04.2014г.</v>
      </c>
      <c r="B4" s="41"/>
      <c r="C4" s="42"/>
      <c r="D4" s="745" t="s">
        <v>40</v>
      </c>
      <c r="E4" s="745"/>
      <c r="F4" s="6"/>
      <c r="G4" s="6"/>
      <c r="H4" s="6"/>
      <c r="I4" s="6"/>
      <c r="J4" s="6"/>
      <c r="K4" s="6"/>
      <c r="L4" s="6"/>
      <c r="M4" s="6"/>
      <c r="N4" s="6"/>
    </row>
    <row r="5" spans="1:14" ht="39" customHeight="1" thickBot="1">
      <c r="A5" s="722" t="s">
        <v>9</v>
      </c>
      <c r="B5" s="724"/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5"/>
    </row>
    <row r="6" spans="1:14" ht="126.75" customHeight="1" thickBot="1">
      <c r="A6" s="23" t="s">
        <v>0</v>
      </c>
      <c r="B6" s="752" t="s">
        <v>24</v>
      </c>
      <c r="C6" s="753"/>
      <c r="D6" s="15" t="s">
        <v>51</v>
      </c>
      <c r="E6" s="15" t="s">
        <v>52</v>
      </c>
      <c r="F6" s="16" t="s">
        <v>26</v>
      </c>
      <c r="G6" s="754" t="s">
        <v>18</v>
      </c>
      <c r="H6" s="755"/>
      <c r="I6" s="756"/>
      <c r="J6" s="754" t="s">
        <v>19</v>
      </c>
      <c r="K6" s="755"/>
      <c r="L6" s="756"/>
      <c r="M6" s="32" t="s">
        <v>3</v>
      </c>
      <c r="N6" s="16" t="s">
        <v>31</v>
      </c>
    </row>
    <row r="7" spans="1:14" ht="136.5" customHeight="1" thickBot="1">
      <c r="A7" s="190">
        <v>1</v>
      </c>
      <c r="B7" s="736" t="s">
        <v>300</v>
      </c>
      <c r="C7" s="737"/>
      <c r="D7" s="178">
        <v>71.38</v>
      </c>
      <c r="E7" s="179">
        <v>84.23</v>
      </c>
      <c r="F7" s="330" t="s">
        <v>33</v>
      </c>
      <c r="G7" s="731">
        <v>120</v>
      </c>
      <c r="H7" s="732"/>
      <c r="I7" s="733"/>
      <c r="J7" s="726">
        <f>E7*G7/1000</f>
        <v>10.11</v>
      </c>
      <c r="K7" s="727"/>
      <c r="L7" s="728"/>
      <c r="M7" s="38" t="s">
        <v>99</v>
      </c>
      <c r="N7" s="93">
        <v>3622</v>
      </c>
    </row>
    <row r="8" spans="1:14" ht="105" customHeight="1" thickBot="1">
      <c r="A8" s="190">
        <v>2</v>
      </c>
      <c r="B8" s="734" t="s">
        <v>299</v>
      </c>
      <c r="C8" s="735"/>
      <c r="D8" s="178">
        <v>123.77</v>
      </c>
      <c r="E8" s="179">
        <v>146.05000000000001</v>
      </c>
      <c r="F8" s="189" t="s">
        <v>39</v>
      </c>
      <c r="G8" s="731">
        <v>80</v>
      </c>
      <c r="H8" s="732"/>
      <c r="I8" s="733"/>
      <c r="J8" s="726">
        <f>E8*G8/1000</f>
        <v>11.68</v>
      </c>
      <c r="K8" s="727"/>
      <c r="L8" s="728"/>
      <c r="M8" s="38" t="s">
        <v>72</v>
      </c>
      <c r="N8" s="93">
        <v>5842</v>
      </c>
    </row>
    <row r="9" spans="1:14" ht="111" customHeight="1" thickBot="1">
      <c r="A9" s="190">
        <v>3</v>
      </c>
      <c r="B9" s="736" t="s">
        <v>276</v>
      </c>
      <c r="C9" s="737"/>
      <c r="D9" s="178">
        <v>123.77</v>
      </c>
      <c r="E9" s="179">
        <v>146.05000000000001</v>
      </c>
      <c r="F9" s="189" t="s">
        <v>39</v>
      </c>
      <c r="G9" s="731">
        <v>80</v>
      </c>
      <c r="H9" s="732"/>
      <c r="I9" s="733"/>
      <c r="J9" s="726">
        <f>E9*G9/1000</f>
        <v>11.68</v>
      </c>
      <c r="K9" s="727"/>
      <c r="L9" s="728"/>
      <c r="M9" s="39" t="s">
        <v>72</v>
      </c>
      <c r="N9" s="93">
        <v>5842</v>
      </c>
    </row>
    <row r="10" spans="1:14" ht="36.75" customHeight="1" thickBot="1">
      <c r="A10" s="722" t="s">
        <v>34</v>
      </c>
      <c r="B10" s="724"/>
      <c r="C10" s="724"/>
      <c r="D10" s="724"/>
      <c r="E10" s="724"/>
      <c r="F10" s="724"/>
      <c r="G10" s="724"/>
      <c r="H10" s="724"/>
      <c r="I10" s="724"/>
      <c r="J10" s="724"/>
      <c r="K10" s="724"/>
      <c r="L10" s="724"/>
      <c r="M10" s="724"/>
      <c r="N10" s="725"/>
    </row>
    <row r="11" spans="1:14" ht="129" customHeight="1" thickBot="1">
      <c r="A11" s="171">
        <v>4</v>
      </c>
      <c r="B11" s="746" t="s">
        <v>301</v>
      </c>
      <c r="C11" s="747"/>
      <c r="D11" s="95">
        <v>88.98</v>
      </c>
      <c r="E11" s="53">
        <v>105</v>
      </c>
      <c r="F11" s="35" t="s">
        <v>7</v>
      </c>
      <c r="G11" s="748" t="s">
        <v>279</v>
      </c>
      <c r="H11" s="749"/>
      <c r="I11" s="750"/>
      <c r="J11" s="748" t="str">
        <f>CONCATENATE("Комплект (А+Б): ",ROUND(E11*0.365,2))</f>
        <v>Комплект (А+Б): 38,33</v>
      </c>
      <c r="K11" s="749"/>
      <c r="L11" s="750"/>
      <c r="M11" s="78" t="s">
        <v>280</v>
      </c>
      <c r="N11" s="93">
        <v>9450</v>
      </c>
    </row>
    <row r="13" spans="1:14" ht="27" customHeight="1">
      <c r="B13" s="55"/>
      <c r="D13" s="57" t="s">
        <v>50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19.5" customHeight="1" thickBot="1"/>
    <row r="15" spans="1:14" ht="38.25" customHeight="1" thickBot="1">
      <c r="A15" s="722" t="s">
        <v>10</v>
      </c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5"/>
    </row>
    <row r="16" spans="1:14" ht="128.25" customHeight="1" thickBot="1">
      <c r="A16" s="34" t="s">
        <v>0</v>
      </c>
      <c r="B16" s="722" t="s">
        <v>24</v>
      </c>
      <c r="C16" s="723"/>
      <c r="D16" s="16" t="s">
        <v>106</v>
      </c>
      <c r="E16" s="16" t="s">
        <v>107</v>
      </c>
      <c r="F16" s="16" t="s">
        <v>26</v>
      </c>
      <c r="G16" s="742" t="s">
        <v>108</v>
      </c>
      <c r="H16" s="742"/>
      <c r="I16" s="738" t="s">
        <v>37</v>
      </c>
      <c r="J16" s="739"/>
      <c r="K16" s="740" t="s">
        <v>11</v>
      </c>
      <c r="L16" s="741"/>
      <c r="M16" s="36" t="s">
        <v>109</v>
      </c>
      <c r="N16" s="16" t="s">
        <v>31</v>
      </c>
    </row>
    <row r="17" spans="1:17" ht="57" customHeight="1" thickBot="1">
      <c r="A17" s="792">
        <v>5</v>
      </c>
      <c r="B17" s="795"/>
      <c r="C17" s="737" t="s">
        <v>198</v>
      </c>
      <c r="D17" s="94">
        <v>112.4</v>
      </c>
      <c r="E17" s="54">
        <v>132.63</v>
      </c>
      <c r="F17" s="761" t="s">
        <v>105</v>
      </c>
      <c r="G17" s="731" t="s">
        <v>281</v>
      </c>
      <c r="H17" s="733"/>
      <c r="I17" s="727" t="s">
        <v>112</v>
      </c>
      <c r="J17" s="728"/>
      <c r="K17" s="729" t="s">
        <v>110</v>
      </c>
      <c r="L17" s="730"/>
      <c r="M17" s="159">
        <v>0.95</v>
      </c>
      <c r="N17" s="158">
        <v>126</v>
      </c>
    </row>
    <row r="18" spans="1:17" ht="57" customHeight="1" thickBot="1">
      <c r="A18" s="793"/>
      <c r="B18" s="796"/>
      <c r="C18" s="759"/>
      <c r="D18" s="94">
        <v>105.03</v>
      </c>
      <c r="E18" s="54">
        <v>123.94</v>
      </c>
      <c r="F18" s="762"/>
      <c r="G18" s="763"/>
      <c r="H18" s="764"/>
      <c r="I18" s="726" t="s">
        <v>151</v>
      </c>
      <c r="J18" s="728"/>
      <c r="K18" s="729" t="s">
        <v>114</v>
      </c>
      <c r="L18" s="730"/>
      <c r="M18" s="159">
        <v>3.3</v>
      </c>
      <c r="N18" s="158">
        <v>409</v>
      </c>
    </row>
    <row r="19" spans="1:17" ht="57" customHeight="1" thickBot="1">
      <c r="A19" s="794"/>
      <c r="B19" s="797"/>
      <c r="C19" s="760"/>
      <c r="D19" s="94">
        <v>95.61</v>
      </c>
      <c r="E19" s="54">
        <v>112.82</v>
      </c>
      <c r="F19" s="762"/>
      <c r="G19" s="763"/>
      <c r="H19" s="764"/>
      <c r="I19" s="802" t="s">
        <v>152</v>
      </c>
      <c r="J19" s="803"/>
      <c r="K19" s="781" t="s">
        <v>111</v>
      </c>
      <c r="L19" s="782"/>
      <c r="M19" s="195">
        <v>11</v>
      </c>
      <c r="N19" s="196">
        <v>1241</v>
      </c>
    </row>
    <row r="20" spans="1:17" ht="57" customHeight="1" thickBot="1">
      <c r="A20" s="792">
        <v>6</v>
      </c>
      <c r="B20" s="795"/>
      <c r="C20" s="737" t="s">
        <v>199</v>
      </c>
      <c r="D20" s="94">
        <v>118.64</v>
      </c>
      <c r="E20" s="54">
        <v>140</v>
      </c>
      <c r="F20" s="798" t="s">
        <v>144</v>
      </c>
      <c r="G20" s="731" t="s">
        <v>145</v>
      </c>
      <c r="H20" s="733"/>
      <c r="I20" s="726" t="s">
        <v>155</v>
      </c>
      <c r="J20" s="728"/>
      <c r="K20" s="790" t="s">
        <v>147</v>
      </c>
      <c r="L20" s="791"/>
      <c r="M20" s="195">
        <v>0.9</v>
      </c>
      <c r="N20" s="196">
        <v>126</v>
      </c>
    </row>
    <row r="21" spans="1:17" ht="94.5" customHeight="1" thickBot="1">
      <c r="A21" s="794"/>
      <c r="B21" s="797"/>
      <c r="C21" s="759"/>
      <c r="D21" s="94">
        <v>107.66</v>
      </c>
      <c r="E21" s="157">
        <v>127.04</v>
      </c>
      <c r="F21" s="799"/>
      <c r="G21" s="800"/>
      <c r="H21" s="801"/>
      <c r="I21" s="726" t="s">
        <v>146</v>
      </c>
      <c r="J21" s="728"/>
      <c r="K21" s="790" t="s">
        <v>148</v>
      </c>
      <c r="L21" s="791"/>
      <c r="M21" s="79">
        <v>2.7</v>
      </c>
      <c r="N21" s="158">
        <v>343</v>
      </c>
      <c r="P21" s="167"/>
      <c r="Q21" s="167"/>
    </row>
    <row r="22" spans="1:17" ht="123" customHeight="1" thickBot="1">
      <c r="A22" s="34" t="s">
        <v>0</v>
      </c>
      <c r="B22" s="722" t="s">
        <v>24</v>
      </c>
      <c r="C22" s="723"/>
      <c r="D22" s="16" t="s">
        <v>51</v>
      </c>
      <c r="E22" s="16" t="s">
        <v>52</v>
      </c>
      <c r="F22" s="16" t="s">
        <v>35</v>
      </c>
      <c r="G22" s="742" t="s">
        <v>36</v>
      </c>
      <c r="H22" s="742"/>
      <c r="I22" s="757" t="s">
        <v>37</v>
      </c>
      <c r="J22" s="758"/>
      <c r="K22" s="783" t="s">
        <v>11</v>
      </c>
      <c r="L22" s="784"/>
      <c r="M22" s="197" t="s">
        <v>21</v>
      </c>
      <c r="N22" s="198" t="s">
        <v>31</v>
      </c>
    </row>
    <row r="23" spans="1:17" ht="55.5" customHeight="1" thickBot="1">
      <c r="A23" s="776">
        <v>7</v>
      </c>
      <c r="B23" s="736" t="s">
        <v>302</v>
      </c>
      <c r="C23" s="737"/>
      <c r="D23" s="94">
        <v>36.979999999999997</v>
      </c>
      <c r="E23" s="54">
        <v>43.64</v>
      </c>
      <c r="F23" s="765" t="s">
        <v>12</v>
      </c>
      <c r="G23" s="770" t="s">
        <v>116</v>
      </c>
      <c r="H23" s="770"/>
      <c r="I23" s="778" t="str">
        <f>CONCATENATE(ROUND(E23*0.09,2)," - ",ROUND(E23*0.12,2))</f>
        <v>3,93 - 5,24</v>
      </c>
      <c r="J23" s="779"/>
      <c r="K23" s="765" t="s">
        <v>118</v>
      </c>
      <c r="L23" s="765"/>
      <c r="M23" s="79">
        <v>3.3</v>
      </c>
      <c r="N23" s="96">
        <v>144</v>
      </c>
    </row>
    <row r="24" spans="1:17" ht="55.5" customHeight="1" thickBot="1">
      <c r="A24" s="777"/>
      <c r="B24" s="775"/>
      <c r="C24" s="760"/>
      <c r="D24" s="92">
        <v>34.47</v>
      </c>
      <c r="E24" s="54">
        <v>40.67</v>
      </c>
      <c r="F24" s="765"/>
      <c r="G24" s="770"/>
      <c r="H24" s="770"/>
      <c r="I24" s="778" t="str">
        <f>CONCATENATE(ROUND(E24*0.09,2)," - ",ROUND(E24*0.12,2))</f>
        <v>3,66 - 4,88</v>
      </c>
      <c r="J24" s="779"/>
      <c r="K24" s="766" t="s">
        <v>117</v>
      </c>
      <c r="L24" s="766"/>
      <c r="M24" s="79">
        <v>10.5</v>
      </c>
      <c r="N24" s="96">
        <v>427</v>
      </c>
    </row>
    <row r="25" spans="1:17" ht="55.5" customHeight="1" thickBot="1">
      <c r="A25" s="767">
        <v>8</v>
      </c>
      <c r="B25" s="771" t="s">
        <v>303</v>
      </c>
      <c r="C25" s="772"/>
      <c r="D25" s="94">
        <v>71.75</v>
      </c>
      <c r="E25" s="54">
        <v>84.67</v>
      </c>
      <c r="F25" s="768" t="s">
        <v>22</v>
      </c>
      <c r="G25" s="769">
        <v>120</v>
      </c>
      <c r="H25" s="769"/>
      <c r="I25" s="726">
        <f>E25*G25/1000</f>
        <v>10.16</v>
      </c>
      <c r="J25" s="728"/>
      <c r="K25" s="787">
        <v>37</v>
      </c>
      <c r="L25" s="787"/>
      <c r="M25" s="79">
        <v>4.5</v>
      </c>
      <c r="N25" s="96">
        <v>381</v>
      </c>
    </row>
    <row r="26" spans="1:17" ht="55.5" customHeight="1" thickBot="1">
      <c r="A26" s="767"/>
      <c r="B26" s="773"/>
      <c r="C26" s="774"/>
      <c r="D26" s="92">
        <v>66.95</v>
      </c>
      <c r="E26" s="54">
        <v>79</v>
      </c>
      <c r="F26" s="768"/>
      <c r="G26" s="769"/>
      <c r="H26" s="769"/>
      <c r="I26" s="726">
        <f>E26*G25/1000</f>
        <v>9.48</v>
      </c>
      <c r="J26" s="728"/>
      <c r="K26" s="787">
        <f>M26*1000/G25</f>
        <v>125</v>
      </c>
      <c r="L26" s="787"/>
      <c r="M26" s="79">
        <v>15</v>
      </c>
      <c r="N26" s="96">
        <v>1185</v>
      </c>
    </row>
    <row r="27" spans="1:17" ht="55.5" customHeight="1" thickBot="1">
      <c r="A27" s="767">
        <v>9</v>
      </c>
      <c r="B27" s="771" t="s">
        <v>320</v>
      </c>
      <c r="C27" s="772"/>
      <c r="D27" s="94">
        <v>96.71</v>
      </c>
      <c r="E27" s="54">
        <v>114.12</v>
      </c>
      <c r="F27" s="768" t="s">
        <v>22</v>
      </c>
      <c r="G27" s="769">
        <v>120</v>
      </c>
      <c r="H27" s="769"/>
      <c r="I27" s="726">
        <f>E27*G27/1000</f>
        <v>13.69</v>
      </c>
      <c r="J27" s="728"/>
      <c r="K27" s="788">
        <v>26</v>
      </c>
      <c r="L27" s="789"/>
      <c r="M27" s="79">
        <v>3.4</v>
      </c>
      <c r="N27" s="96">
        <v>388</v>
      </c>
    </row>
    <row r="28" spans="1:17" ht="55.5" customHeight="1" thickBot="1">
      <c r="A28" s="767"/>
      <c r="B28" s="773"/>
      <c r="C28" s="774"/>
      <c r="D28" s="92">
        <v>90.21</v>
      </c>
      <c r="E28" s="54">
        <v>106.45</v>
      </c>
      <c r="F28" s="768"/>
      <c r="G28" s="769"/>
      <c r="H28" s="769"/>
      <c r="I28" s="726">
        <f>E28*G27/1000</f>
        <v>12.77</v>
      </c>
      <c r="J28" s="728"/>
      <c r="K28" s="787">
        <v>83</v>
      </c>
      <c r="L28" s="787"/>
      <c r="M28" s="79">
        <v>11</v>
      </c>
      <c r="N28" s="96">
        <v>1171</v>
      </c>
    </row>
    <row r="29" spans="1:17" ht="36.75" customHeight="1">
      <c r="A29" s="20" t="s">
        <v>78</v>
      </c>
      <c r="B29" s="44"/>
      <c r="C29" s="44"/>
      <c r="D29" s="49"/>
      <c r="E29" s="49"/>
      <c r="F29" s="45"/>
      <c r="G29" s="46"/>
      <c r="H29" s="46"/>
      <c r="I29" s="47"/>
      <c r="J29" s="47"/>
      <c r="K29" s="48"/>
      <c r="L29" s="48"/>
      <c r="M29" s="50"/>
      <c r="N29" s="51"/>
    </row>
    <row r="30" spans="1:17" ht="25.5">
      <c r="A30" s="21" t="s">
        <v>210</v>
      </c>
      <c r="B30" s="43"/>
      <c r="C30" s="43"/>
      <c r="D30" s="43" t="s">
        <v>53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7" ht="25.5">
      <c r="A31" s="21" t="s">
        <v>211</v>
      </c>
      <c r="B31" s="7"/>
      <c r="C31" s="7"/>
      <c r="D31" s="680" t="s">
        <v>81</v>
      </c>
      <c r="E31" s="780"/>
      <c r="F31" s="680" t="s">
        <v>84</v>
      </c>
      <c r="G31" s="786"/>
      <c r="H31" s="786"/>
      <c r="I31" s="786"/>
      <c r="J31" s="680" t="s">
        <v>85</v>
      </c>
      <c r="K31" s="680"/>
      <c r="L31" s="680"/>
      <c r="M31" s="44"/>
      <c r="N31" s="148"/>
    </row>
    <row r="32" spans="1:17" ht="25.5">
      <c r="A32" s="21" t="s">
        <v>212</v>
      </c>
      <c r="B32" s="7"/>
      <c r="C32" s="7"/>
      <c r="D32" s="785">
        <v>0.01</v>
      </c>
      <c r="E32" s="780"/>
      <c r="F32" s="785">
        <v>0.02</v>
      </c>
      <c r="G32" s="786"/>
      <c r="H32" s="786"/>
      <c r="I32" s="786"/>
      <c r="J32" s="785">
        <v>0.03</v>
      </c>
      <c r="K32" s="785"/>
      <c r="L32" s="785"/>
      <c r="M32" s="44"/>
      <c r="N32" s="149"/>
    </row>
    <row r="33" spans="1:14" ht="25.5">
      <c r="A33" s="21" t="s">
        <v>213</v>
      </c>
      <c r="B33" s="30"/>
      <c r="C33" s="30"/>
      <c r="D33" s="30" t="s">
        <v>43</v>
      </c>
      <c r="E33" s="7"/>
      <c r="F33" s="7"/>
      <c r="G33" s="7"/>
      <c r="H33" s="7"/>
      <c r="I33" s="7"/>
      <c r="J33" s="7"/>
      <c r="K33" s="7"/>
      <c r="L33" s="8"/>
      <c r="M33" s="8"/>
      <c r="N33" s="8"/>
    </row>
    <row r="34" spans="1:14" ht="25.5">
      <c r="A34" s="21" t="s">
        <v>214</v>
      </c>
      <c r="B34" s="30"/>
      <c r="C34" s="30"/>
      <c r="D34" s="30"/>
      <c r="E34" s="30"/>
      <c r="F34" s="8"/>
      <c r="G34" s="8"/>
      <c r="H34" s="8"/>
      <c r="I34" s="8"/>
      <c r="J34" s="8"/>
      <c r="K34" s="8"/>
      <c r="L34" s="8"/>
      <c r="M34" s="8"/>
      <c r="N34" s="8"/>
    </row>
    <row r="35" spans="1:14" ht="25.5">
      <c r="A35" s="30"/>
      <c r="B35" s="30"/>
      <c r="C35" s="30"/>
      <c r="D35" s="8"/>
      <c r="E35" s="30"/>
      <c r="F35" s="8"/>
      <c r="G35" s="8"/>
      <c r="H35" s="8"/>
      <c r="I35" s="8"/>
      <c r="J35" s="8"/>
      <c r="K35" s="8"/>
      <c r="L35" s="8"/>
      <c r="M35" s="8"/>
      <c r="N35" s="8"/>
    </row>
  </sheetData>
  <sheetProtection selectLockedCells="1"/>
  <mergeCells count="79">
    <mergeCell ref="K21:L21"/>
    <mergeCell ref="A17:A19"/>
    <mergeCell ref="B17:B19"/>
    <mergeCell ref="A20:A21"/>
    <mergeCell ref="B20:B21"/>
    <mergeCell ref="C20:C21"/>
    <mergeCell ref="F20:F21"/>
    <mergeCell ref="G20:H21"/>
    <mergeCell ref="I20:J20"/>
    <mergeCell ref="K20:L20"/>
    <mergeCell ref="I17:J17"/>
    <mergeCell ref="I18:J18"/>
    <mergeCell ref="I19:J19"/>
    <mergeCell ref="D31:E31"/>
    <mergeCell ref="I23:J23"/>
    <mergeCell ref="K19:L19"/>
    <mergeCell ref="K22:L22"/>
    <mergeCell ref="D32:E32"/>
    <mergeCell ref="F32:I32"/>
    <mergeCell ref="F31:I31"/>
    <mergeCell ref="I25:J25"/>
    <mergeCell ref="G25:H26"/>
    <mergeCell ref="I26:J26"/>
    <mergeCell ref="J31:L31"/>
    <mergeCell ref="J32:L32"/>
    <mergeCell ref="K25:L25"/>
    <mergeCell ref="K26:L26"/>
    <mergeCell ref="K27:L27"/>
    <mergeCell ref="K28:L28"/>
    <mergeCell ref="K23:L23"/>
    <mergeCell ref="K24:L24"/>
    <mergeCell ref="F23:F24"/>
    <mergeCell ref="A27:A28"/>
    <mergeCell ref="I28:J28"/>
    <mergeCell ref="F27:F28"/>
    <mergeCell ref="G27:H28"/>
    <mergeCell ref="G23:H24"/>
    <mergeCell ref="B27:C28"/>
    <mergeCell ref="I27:J27"/>
    <mergeCell ref="B23:C24"/>
    <mergeCell ref="F25:F26"/>
    <mergeCell ref="A25:A26"/>
    <mergeCell ref="B25:C26"/>
    <mergeCell ref="A23:A24"/>
    <mergeCell ref="I24:J24"/>
    <mergeCell ref="B22:C22"/>
    <mergeCell ref="G22:H22"/>
    <mergeCell ref="I22:J22"/>
    <mergeCell ref="C17:C19"/>
    <mergeCell ref="F17:F19"/>
    <mergeCell ref="G17:H19"/>
    <mergeCell ref="I21:J21"/>
    <mergeCell ref="C1:N2"/>
    <mergeCell ref="D4:E4"/>
    <mergeCell ref="A10:N10"/>
    <mergeCell ref="B11:C11"/>
    <mergeCell ref="G11:I11"/>
    <mergeCell ref="J11:L11"/>
    <mergeCell ref="B9:C9"/>
    <mergeCell ref="A3:N3"/>
    <mergeCell ref="A5:N5"/>
    <mergeCell ref="B6:C6"/>
    <mergeCell ref="G6:I6"/>
    <mergeCell ref="J6:L6"/>
    <mergeCell ref="J8:L8"/>
    <mergeCell ref="J9:L9"/>
    <mergeCell ref="B16:C16"/>
    <mergeCell ref="A15:N15"/>
    <mergeCell ref="J7:L7"/>
    <mergeCell ref="K17:L17"/>
    <mergeCell ref="K18:L18"/>
    <mergeCell ref="G7:I7"/>
    <mergeCell ref="B8:C8"/>
    <mergeCell ref="G8:I8"/>
    <mergeCell ref="B7:C7"/>
    <mergeCell ref="G9:I9"/>
    <mergeCell ref="I16:J16"/>
    <mergeCell ref="K16:L16"/>
    <mergeCell ref="G16:H16"/>
  </mergeCells>
  <phoneticPr fontId="2" type="noConversion"/>
  <pageMargins left="0.23622047244094491" right="0.19685039370078741" top="0.15748031496062992" bottom="0.19685039370078741" header="0.51181102362204722" footer="0.51181102362204722"/>
  <pageSetup paperSize="9" scale="28" orientation="landscape" r:id="rId1"/>
  <headerFooter alignWithMargins="0"/>
  <ignoredErrors>
    <ignoredError sqref="K20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L141"/>
  <sheetViews>
    <sheetView view="pageBreakPreview" zoomScale="80" zoomScaleNormal="100" zoomScaleSheetLayoutView="80" workbookViewId="0">
      <selection activeCell="G53" sqref="G53"/>
    </sheetView>
  </sheetViews>
  <sheetFormatPr defaultRowHeight="12.75"/>
  <cols>
    <col min="1" max="1" width="2.42578125" customWidth="1"/>
    <col min="2" max="2" width="3.28515625" customWidth="1"/>
    <col min="3" max="3" width="8.140625" customWidth="1"/>
    <col min="4" max="6" width="18.85546875" customWidth="1"/>
    <col min="7" max="7" width="18.42578125" bestFit="1" customWidth="1"/>
    <col min="8" max="8" width="12.7109375" hidden="1" customWidth="1"/>
    <col min="9" max="9" width="13.28515625" bestFit="1" customWidth="1"/>
    <col min="10" max="10" width="16.140625" customWidth="1"/>
    <col min="11" max="11" width="15.7109375" customWidth="1"/>
    <col min="12" max="12" width="15.7109375" hidden="1" customWidth="1"/>
  </cols>
  <sheetData>
    <row r="1" spans="1:12" ht="13.5" customHeight="1">
      <c r="A1" s="71"/>
      <c r="B1" s="72"/>
      <c r="C1" s="73"/>
      <c r="D1" s="821" t="s">
        <v>69</v>
      </c>
      <c r="E1" s="821"/>
      <c r="F1" s="821"/>
      <c r="G1" s="821"/>
      <c r="H1" s="821"/>
      <c r="I1" s="821"/>
      <c r="J1" s="821"/>
      <c r="K1" s="821"/>
      <c r="L1" t="s">
        <v>64</v>
      </c>
    </row>
    <row r="2" spans="1:12" ht="10.5" customHeight="1">
      <c r="A2" s="71"/>
      <c r="B2" s="73"/>
      <c r="C2" s="73"/>
      <c r="D2" s="821" t="s">
        <v>95</v>
      </c>
      <c r="E2" s="821"/>
      <c r="F2" s="821"/>
      <c r="G2" s="821"/>
      <c r="H2" s="821"/>
      <c r="I2" s="821"/>
      <c r="J2" s="821"/>
      <c r="K2" s="821"/>
      <c r="L2" s="818">
        <v>0.1</v>
      </c>
    </row>
    <row r="3" spans="1:12" ht="12" customHeight="1">
      <c r="A3" s="71"/>
      <c r="B3" s="73"/>
      <c r="C3" s="73"/>
      <c r="D3" s="821" t="s">
        <v>90</v>
      </c>
      <c r="E3" s="821"/>
      <c r="F3" s="821"/>
      <c r="G3" s="821"/>
      <c r="H3" s="821"/>
      <c r="I3" s="821"/>
      <c r="J3" s="821"/>
      <c r="K3" s="821"/>
      <c r="L3" s="818"/>
    </row>
    <row r="4" spans="1:12" ht="14.25" customHeight="1">
      <c r="A4" s="71"/>
      <c r="B4" s="822" t="s">
        <v>180</v>
      </c>
      <c r="C4" s="823"/>
      <c r="D4" s="823"/>
      <c r="E4" s="823"/>
      <c r="F4" s="823"/>
      <c r="G4" s="823"/>
      <c r="H4" s="823"/>
      <c r="I4" s="823"/>
      <c r="J4" s="823"/>
      <c r="K4" s="823"/>
    </row>
    <row r="5" spans="1:12" ht="10.5" customHeight="1">
      <c r="A5" s="71"/>
      <c r="B5" s="823"/>
      <c r="C5" s="823"/>
      <c r="D5" s="823"/>
      <c r="E5" s="823"/>
      <c r="F5" s="823"/>
      <c r="G5" s="823"/>
      <c r="H5" s="823"/>
      <c r="I5" s="823"/>
      <c r="J5" s="823"/>
      <c r="K5" s="823"/>
    </row>
    <row r="6" spans="1:12" ht="6" customHeight="1">
      <c r="A6" s="71"/>
      <c r="B6" s="823"/>
      <c r="C6" s="823"/>
      <c r="D6" s="823"/>
      <c r="E6" s="823"/>
      <c r="F6" s="823"/>
      <c r="G6" s="823"/>
      <c r="H6" s="823"/>
      <c r="I6" s="823"/>
      <c r="J6" s="823"/>
      <c r="K6" s="823"/>
    </row>
    <row r="7" spans="1:12" ht="13.5" customHeight="1" thickBot="1">
      <c r="B7" s="270" t="str">
        <f>'прайс пром.2'!A4</f>
        <v>Действует с 15.04.2014г.</v>
      </c>
      <c r="C7" s="271"/>
      <c r="D7" s="271"/>
      <c r="E7" s="42"/>
      <c r="F7" s="42"/>
      <c r="G7" s="42" t="s">
        <v>40</v>
      </c>
      <c r="H7" s="42"/>
      <c r="I7" s="42"/>
      <c r="J7" s="42"/>
      <c r="K7" s="42"/>
    </row>
    <row r="8" spans="1:12" s="3" customFormat="1" ht="63.75" customHeight="1" thickBot="1">
      <c r="B8" s="74" t="s">
        <v>0</v>
      </c>
      <c r="C8" s="824" t="s">
        <v>55</v>
      </c>
      <c r="D8" s="825"/>
      <c r="E8" s="825"/>
      <c r="F8" s="825"/>
      <c r="G8" s="826"/>
      <c r="H8" s="80"/>
      <c r="I8" s="75" t="s">
        <v>56</v>
      </c>
      <c r="J8" s="75" t="s">
        <v>57</v>
      </c>
      <c r="K8" s="75" t="s">
        <v>58</v>
      </c>
    </row>
    <row r="9" spans="1:12" s="3" customFormat="1" ht="22.5" customHeight="1" thickBot="1">
      <c r="B9" s="232"/>
      <c r="C9" s="819" t="s">
        <v>172</v>
      </c>
      <c r="D9" s="820"/>
      <c r="E9" s="820"/>
      <c r="F9" s="820"/>
      <c r="G9" s="820"/>
      <c r="H9" s="236"/>
      <c r="I9" s="205" t="s">
        <v>61</v>
      </c>
      <c r="J9" s="206"/>
      <c r="K9" s="207"/>
    </row>
    <row r="10" spans="1:12" s="3" customFormat="1" ht="21.75" customHeight="1">
      <c r="B10" s="849">
        <v>1</v>
      </c>
      <c r="C10" s="850" t="s">
        <v>259</v>
      </c>
      <c r="D10" s="851"/>
      <c r="E10" s="851"/>
      <c r="F10" s="851"/>
      <c r="G10" s="852"/>
      <c r="H10" s="202">
        <v>22</v>
      </c>
      <c r="I10" s="203" t="s">
        <v>158</v>
      </c>
      <c r="J10" s="81">
        <f>K10/118*100</f>
        <v>2532.1999999999998</v>
      </c>
      <c r="K10" s="82">
        <v>2988</v>
      </c>
    </row>
    <row r="11" spans="1:12" s="3" customFormat="1" ht="21.75" hidden="1" customHeight="1">
      <c r="B11" s="807"/>
      <c r="C11" s="853"/>
      <c r="D11" s="854"/>
      <c r="E11" s="854"/>
      <c r="F11" s="854"/>
      <c r="G11" s="855"/>
      <c r="H11" s="240">
        <v>10</v>
      </c>
      <c r="I11" s="226" t="s">
        <v>167</v>
      </c>
      <c r="J11" s="87">
        <f t="shared" ref="J11:J19" si="0">K11/118*100</f>
        <v>1239.83</v>
      </c>
      <c r="K11" s="163">
        <v>1463</v>
      </c>
    </row>
    <row r="12" spans="1:12" s="3" customFormat="1" ht="21.75" customHeight="1">
      <c r="B12" s="807"/>
      <c r="C12" s="853"/>
      <c r="D12" s="854"/>
      <c r="E12" s="854"/>
      <c r="F12" s="854"/>
      <c r="G12" s="855"/>
      <c r="H12" s="240">
        <v>3.2</v>
      </c>
      <c r="I12" s="204" t="s">
        <v>168</v>
      </c>
      <c r="J12" s="87">
        <f t="shared" si="0"/>
        <v>416.95</v>
      </c>
      <c r="K12" s="84">
        <v>492</v>
      </c>
    </row>
    <row r="13" spans="1:12" s="3" customFormat="1" ht="28.5" customHeight="1">
      <c r="B13" s="808"/>
      <c r="C13" s="853"/>
      <c r="D13" s="854"/>
      <c r="E13" s="854"/>
      <c r="F13" s="854"/>
      <c r="G13" s="855"/>
      <c r="H13" s="240">
        <v>1</v>
      </c>
      <c r="I13" s="204" t="s">
        <v>169</v>
      </c>
      <c r="J13" s="87">
        <f t="shared" si="0"/>
        <v>137.29</v>
      </c>
      <c r="K13" s="84">
        <v>162</v>
      </c>
    </row>
    <row r="14" spans="1:12" ht="21.75" customHeight="1">
      <c r="B14" s="806">
        <v>2</v>
      </c>
      <c r="C14" s="809" t="s">
        <v>176</v>
      </c>
      <c r="D14" s="810"/>
      <c r="E14" s="810"/>
      <c r="F14" s="810"/>
      <c r="G14" s="811"/>
      <c r="H14" s="240">
        <v>26</v>
      </c>
      <c r="I14" s="226" t="s">
        <v>159</v>
      </c>
      <c r="J14" s="83">
        <f t="shared" si="0"/>
        <v>3065.25</v>
      </c>
      <c r="K14" s="84">
        <v>3617</v>
      </c>
    </row>
    <row r="15" spans="1:12" ht="21.75" hidden="1" customHeight="1">
      <c r="B15" s="807"/>
      <c r="C15" s="812"/>
      <c r="D15" s="813"/>
      <c r="E15" s="813"/>
      <c r="F15" s="813"/>
      <c r="G15" s="814"/>
      <c r="H15" s="240">
        <v>11</v>
      </c>
      <c r="I15" s="226" t="s">
        <v>135</v>
      </c>
      <c r="J15" s="83">
        <f t="shared" si="0"/>
        <v>1368.64</v>
      </c>
      <c r="K15" s="84">
        <v>1615</v>
      </c>
    </row>
    <row r="16" spans="1:12" ht="21.75" customHeight="1">
      <c r="B16" s="807"/>
      <c r="C16" s="812"/>
      <c r="D16" s="813"/>
      <c r="E16" s="813"/>
      <c r="F16" s="813"/>
      <c r="G16" s="814"/>
      <c r="H16" s="240">
        <v>3.5</v>
      </c>
      <c r="I16" s="226" t="s">
        <v>170</v>
      </c>
      <c r="J16" s="83">
        <f t="shared" si="0"/>
        <v>472.88</v>
      </c>
      <c r="K16" s="84">
        <v>558</v>
      </c>
    </row>
    <row r="17" spans="1:11" ht="45" customHeight="1">
      <c r="B17" s="808"/>
      <c r="C17" s="815"/>
      <c r="D17" s="816"/>
      <c r="E17" s="816"/>
      <c r="F17" s="816"/>
      <c r="G17" s="817"/>
      <c r="H17" s="211">
        <v>1.1000000000000001</v>
      </c>
      <c r="I17" s="204" t="s">
        <v>171</v>
      </c>
      <c r="J17" s="87">
        <f t="shared" si="0"/>
        <v>159.32</v>
      </c>
      <c r="K17" s="84">
        <v>188</v>
      </c>
    </row>
    <row r="18" spans="1:11" ht="21.75" customHeight="1">
      <c r="B18" s="806">
        <v>3</v>
      </c>
      <c r="C18" s="809" t="s">
        <v>177</v>
      </c>
      <c r="D18" s="810"/>
      <c r="E18" s="810"/>
      <c r="F18" s="810"/>
      <c r="G18" s="811"/>
      <c r="H18" s="240">
        <v>26</v>
      </c>
      <c r="I18" s="226" t="s">
        <v>159</v>
      </c>
      <c r="J18" s="87">
        <f t="shared" si="0"/>
        <v>3574.58</v>
      </c>
      <c r="K18" s="84">
        <v>4218</v>
      </c>
    </row>
    <row r="19" spans="1:11" ht="21.75" hidden="1" customHeight="1">
      <c r="B19" s="807"/>
      <c r="C19" s="812"/>
      <c r="D19" s="813"/>
      <c r="E19" s="813"/>
      <c r="F19" s="813"/>
      <c r="G19" s="814"/>
      <c r="H19" s="240">
        <v>11</v>
      </c>
      <c r="I19" s="226" t="s">
        <v>135</v>
      </c>
      <c r="J19" s="87">
        <f t="shared" si="0"/>
        <v>1594.07</v>
      </c>
      <c r="K19" s="84">
        <v>1881</v>
      </c>
    </row>
    <row r="20" spans="1:11" ht="21.75" customHeight="1">
      <c r="B20" s="807"/>
      <c r="C20" s="812"/>
      <c r="D20" s="813"/>
      <c r="E20" s="813"/>
      <c r="F20" s="813"/>
      <c r="G20" s="814"/>
      <c r="H20" s="211">
        <v>3.5</v>
      </c>
      <c r="I20" s="204" t="s">
        <v>170</v>
      </c>
      <c r="J20" s="87">
        <f t="shared" ref="J20:J38" si="1">K20/118*100</f>
        <v>551.69000000000005</v>
      </c>
      <c r="K20" s="84">
        <v>651</v>
      </c>
    </row>
    <row r="21" spans="1:11" ht="21.75" customHeight="1">
      <c r="B21" s="808"/>
      <c r="C21" s="815"/>
      <c r="D21" s="816"/>
      <c r="E21" s="816"/>
      <c r="F21" s="816"/>
      <c r="G21" s="817"/>
      <c r="H21" s="211">
        <v>1.1000000000000001</v>
      </c>
      <c r="I21" s="204" t="s">
        <v>171</v>
      </c>
      <c r="J21" s="87">
        <f t="shared" si="1"/>
        <v>185.59</v>
      </c>
      <c r="K21" s="84">
        <v>219</v>
      </c>
    </row>
    <row r="22" spans="1:11" ht="30" customHeight="1">
      <c r="B22" s="806">
        <v>4</v>
      </c>
      <c r="C22" s="809" t="s">
        <v>253</v>
      </c>
      <c r="D22" s="810"/>
      <c r="E22" s="810"/>
      <c r="F22" s="810"/>
      <c r="G22" s="811"/>
      <c r="H22" s="240">
        <v>24</v>
      </c>
      <c r="I22" s="226" t="s">
        <v>160</v>
      </c>
      <c r="J22" s="87">
        <f t="shared" si="1"/>
        <v>3953.39</v>
      </c>
      <c r="K22" s="84">
        <v>4665</v>
      </c>
    </row>
    <row r="23" spans="1:11" ht="21.75" hidden="1" customHeight="1">
      <c r="B23" s="807"/>
      <c r="C23" s="812"/>
      <c r="D23" s="813"/>
      <c r="E23" s="813"/>
      <c r="F23" s="813"/>
      <c r="G23" s="814"/>
      <c r="H23" s="240">
        <v>11</v>
      </c>
      <c r="I23" s="226" t="s">
        <v>135</v>
      </c>
      <c r="J23" s="87">
        <f t="shared" si="1"/>
        <v>1948.31</v>
      </c>
      <c r="K23" s="84">
        <v>2299</v>
      </c>
    </row>
    <row r="24" spans="1:11" ht="29.25" customHeight="1">
      <c r="B24" s="807"/>
      <c r="C24" s="812"/>
      <c r="D24" s="813"/>
      <c r="E24" s="813"/>
      <c r="F24" s="813"/>
      <c r="G24" s="814"/>
      <c r="H24" s="211">
        <v>3.5</v>
      </c>
      <c r="I24" s="204" t="s">
        <v>170</v>
      </c>
      <c r="J24" s="87">
        <f t="shared" si="1"/>
        <v>663.56</v>
      </c>
      <c r="K24" s="84">
        <v>783</v>
      </c>
    </row>
    <row r="25" spans="1:11" ht="29.25" customHeight="1" thickBot="1">
      <c r="B25" s="807"/>
      <c r="C25" s="812"/>
      <c r="D25" s="813"/>
      <c r="E25" s="813"/>
      <c r="F25" s="813"/>
      <c r="G25" s="814"/>
      <c r="H25" s="254">
        <v>1.1000000000000001</v>
      </c>
      <c r="I25" s="223" t="s">
        <v>171</v>
      </c>
      <c r="J25" s="231">
        <f t="shared" si="1"/>
        <v>229.66</v>
      </c>
      <c r="K25" s="86">
        <v>271</v>
      </c>
    </row>
    <row r="26" spans="1:11" ht="21.75" customHeight="1" thickBot="1">
      <c r="B26" s="804" t="s">
        <v>173</v>
      </c>
      <c r="C26" s="805"/>
      <c r="D26" s="805"/>
      <c r="E26" s="805"/>
      <c r="F26" s="805"/>
      <c r="G26" s="805"/>
      <c r="H26" s="166"/>
      <c r="I26" s="256" t="s">
        <v>59</v>
      </c>
      <c r="J26" s="255"/>
      <c r="K26" s="234"/>
    </row>
    <row r="27" spans="1:11" ht="21.75" customHeight="1">
      <c r="B27" s="807">
        <v>5</v>
      </c>
      <c r="C27" s="812" t="s">
        <v>97</v>
      </c>
      <c r="D27" s="813"/>
      <c r="E27" s="813"/>
      <c r="F27" s="813"/>
      <c r="G27" s="814"/>
      <c r="H27" s="241">
        <v>21</v>
      </c>
      <c r="I27" s="226" t="s">
        <v>161</v>
      </c>
      <c r="J27" s="87">
        <f t="shared" si="1"/>
        <v>1604.24</v>
      </c>
      <c r="K27" s="163">
        <v>1893</v>
      </c>
    </row>
    <row r="28" spans="1:11" ht="21.75" customHeight="1">
      <c r="A28" s="1"/>
      <c r="B28" s="807"/>
      <c r="C28" s="812"/>
      <c r="D28" s="813"/>
      <c r="E28" s="813"/>
      <c r="F28" s="813"/>
      <c r="G28" s="814"/>
      <c r="H28" s="208">
        <v>2.7</v>
      </c>
      <c r="I28" s="210" t="s">
        <v>139</v>
      </c>
      <c r="J28" s="87">
        <f t="shared" si="1"/>
        <v>236.44</v>
      </c>
      <c r="K28" s="84">
        <v>279</v>
      </c>
    </row>
    <row r="29" spans="1:11" ht="21.75" customHeight="1">
      <c r="B29" s="808"/>
      <c r="C29" s="815"/>
      <c r="D29" s="816"/>
      <c r="E29" s="816"/>
      <c r="F29" s="816"/>
      <c r="G29" s="817"/>
      <c r="H29" s="208">
        <v>0.95</v>
      </c>
      <c r="I29" s="210" t="s">
        <v>140</v>
      </c>
      <c r="J29" s="87">
        <f t="shared" si="1"/>
        <v>88.98</v>
      </c>
      <c r="K29" s="84">
        <v>105</v>
      </c>
    </row>
    <row r="30" spans="1:11" ht="21.75" customHeight="1">
      <c r="B30" s="806">
        <v>6</v>
      </c>
      <c r="C30" s="809" t="s">
        <v>123</v>
      </c>
      <c r="D30" s="810"/>
      <c r="E30" s="810"/>
      <c r="F30" s="810"/>
      <c r="G30" s="811"/>
      <c r="H30" s="208">
        <v>21</v>
      </c>
      <c r="I30" s="204" t="s">
        <v>161</v>
      </c>
      <c r="J30" s="87">
        <f t="shared" si="1"/>
        <v>1604.24</v>
      </c>
      <c r="K30" s="84">
        <v>1893</v>
      </c>
    </row>
    <row r="31" spans="1:11" ht="21.75" customHeight="1">
      <c r="B31" s="807"/>
      <c r="C31" s="812"/>
      <c r="D31" s="813"/>
      <c r="E31" s="813"/>
      <c r="F31" s="813"/>
      <c r="G31" s="814"/>
      <c r="H31" s="208">
        <v>2.7</v>
      </c>
      <c r="I31" s="210" t="s">
        <v>139</v>
      </c>
      <c r="J31" s="87">
        <f t="shared" si="1"/>
        <v>236.44</v>
      </c>
      <c r="K31" s="84">
        <v>279</v>
      </c>
    </row>
    <row r="32" spans="1:11" ht="21.75" customHeight="1">
      <c r="B32" s="808"/>
      <c r="C32" s="815"/>
      <c r="D32" s="816"/>
      <c r="E32" s="816"/>
      <c r="F32" s="816"/>
      <c r="G32" s="817"/>
      <c r="H32" s="208">
        <v>0.95</v>
      </c>
      <c r="I32" s="210" t="s">
        <v>140</v>
      </c>
      <c r="J32" s="87">
        <f t="shared" si="1"/>
        <v>88.98</v>
      </c>
      <c r="K32" s="84">
        <v>105</v>
      </c>
    </row>
    <row r="33" spans="2:12" ht="21.75" customHeight="1">
      <c r="B33" s="806">
        <v>7</v>
      </c>
      <c r="C33" s="809" t="s">
        <v>254</v>
      </c>
      <c r="D33" s="810"/>
      <c r="E33" s="810"/>
      <c r="F33" s="810"/>
      <c r="G33" s="811"/>
      <c r="H33" s="208">
        <v>20</v>
      </c>
      <c r="I33" s="204" t="s">
        <v>162</v>
      </c>
      <c r="J33" s="87">
        <f t="shared" si="1"/>
        <v>2649.15</v>
      </c>
      <c r="K33" s="84">
        <v>3126</v>
      </c>
    </row>
    <row r="34" spans="2:12" ht="21.75" customHeight="1">
      <c r="B34" s="807"/>
      <c r="C34" s="812"/>
      <c r="D34" s="813"/>
      <c r="E34" s="813"/>
      <c r="F34" s="813"/>
      <c r="G34" s="814"/>
      <c r="H34" s="208">
        <v>2.6</v>
      </c>
      <c r="I34" s="210" t="s">
        <v>128</v>
      </c>
      <c r="J34" s="87">
        <f t="shared" si="1"/>
        <v>394.92</v>
      </c>
      <c r="K34" s="84">
        <v>466</v>
      </c>
    </row>
    <row r="35" spans="2:12" ht="21.75" customHeight="1">
      <c r="B35" s="808"/>
      <c r="C35" s="815"/>
      <c r="D35" s="816"/>
      <c r="E35" s="816"/>
      <c r="F35" s="816"/>
      <c r="G35" s="817"/>
      <c r="H35" s="209">
        <v>0.9</v>
      </c>
      <c r="I35" s="204" t="s">
        <v>129</v>
      </c>
      <c r="J35" s="87">
        <f t="shared" si="1"/>
        <v>146.61000000000001</v>
      </c>
      <c r="K35" s="84">
        <v>173</v>
      </c>
    </row>
    <row r="36" spans="2:12" ht="21.75" customHeight="1">
      <c r="B36" s="806">
        <v>8</v>
      </c>
      <c r="C36" s="809" t="s">
        <v>125</v>
      </c>
      <c r="D36" s="810"/>
      <c r="E36" s="810"/>
      <c r="F36" s="810"/>
      <c r="G36" s="811"/>
      <c r="H36" s="208">
        <v>20</v>
      </c>
      <c r="I36" s="204" t="s">
        <v>162</v>
      </c>
      <c r="J36" s="87">
        <f t="shared" si="1"/>
        <v>2649.15</v>
      </c>
      <c r="K36" s="146">
        <v>3126</v>
      </c>
    </row>
    <row r="37" spans="2:12" ht="21.75" customHeight="1">
      <c r="B37" s="807"/>
      <c r="C37" s="812"/>
      <c r="D37" s="813"/>
      <c r="E37" s="813"/>
      <c r="F37" s="813"/>
      <c r="G37" s="814"/>
      <c r="H37" s="208">
        <v>2.6</v>
      </c>
      <c r="I37" s="204" t="s">
        <v>128</v>
      </c>
      <c r="J37" s="87">
        <f t="shared" si="1"/>
        <v>394.92</v>
      </c>
      <c r="K37" s="146">
        <v>466</v>
      </c>
    </row>
    <row r="38" spans="2:12" ht="21.75" customHeight="1" thickBot="1">
      <c r="B38" s="862"/>
      <c r="C38" s="863"/>
      <c r="D38" s="864"/>
      <c r="E38" s="864"/>
      <c r="F38" s="864"/>
      <c r="G38" s="865"/>
      <c r="H38" s="208">
        <v>0.9</v>
      </c>
      <c r="I38" s="223" t="s">
        <v>129</v>
      </c>
      <c r="J38" s="231">
        <f t="shared" si="1"/>
        <v>146.61000000000001</v>
      </c>
      <c r="K38" s="86">
        <v>173</v>
      </c>
    </row>
    <row r="39" spans="2:12" ht="27" customHeight="1" thickBot="1">
      <c r="B39" s="161"/>
      <c r="C39" s="861" t="s">
        <v>60</v>
      </c>
      <c r="D39" s="861"/>
      <c r="E39" s="861"/>
      <c r="F39" s="861"/>
      <c r="G39" s="861"/>
      <c r="H39" s="238"/>
      <c r="I39" s="249" t="s">
        <v>119</v>
      </c>
      <c r="J39" s="250"/>
      <c r="K39" s="251"/>
    </row>
    <row r="40" spans="2:12" ht="23.25" customHeight="1">
      <c r="B40" s="856">
        <v>9</v>
      </c>
      <c r="C40" s="164"/>
      <c r="D40" s="857" t="s">
        <v>201</v>
      </c>
      <c r="E40" s="857"/>
      <c r="F40" s="857"/>
      <c r="G40" s="858"/>
      <c r="H40" s="225">
        <v>11</v>
      </c>
      <c r="I40" s="203" t="s">
        <v>138</v>
      </c>
      <c r="J40" s="81">
        <f>K40/1.18</f>
        <v>1051.69</v>
      </c>
      <c r="K40" s="82">
        <v>1241</v>
      </c>
    </row>
    <row r="41" spans="2:12" ht="23.25" customHeight="1" thickBot="1">
      <c r="B41" s="837"/>
      <c r="C41" s="165"/>
      <c r="D41" s="859"/>
      <c r="E41" s="859"/>
      <c r="F41" s="859"/>
      <c r="G41" s="859"/>
      <c r="H41" s="225">
        <v>3.3</v>
      </c>
      <c r="I41" s="204" t="s">
        <v>137</v>
      </c>
      <c r="J41" s="83">
        <f t="shared" ref="J41:J50" si="2">K41/1.18</f>
        <v>346.61</v>
      </c>
      <c r="K41" s="84">
        <v>409</v>
      </c>
    </row>
    <row r="42" spans="2:12" ht="33" customHeight="1" thickBot="1">
      <c r="B42" s="837"/>
      <c r="C42" s="165"/>
      <c r="D42" s="859"/>
      <c r="E42" s="859"/>
      <c r="F42" s="859"/>
      <c r="G42" s="859"/>
      <c r="H42" s="221">
        <v>0.95</v>
      </c>
      <c r="I42" s="204" t="s">
        <v>136</v>
      </c>
      <c r="J42" s="83">
        <f t="shared" ref="J42" si="3">K42/1.18</f>
        <v>106.78</v>
      </c>
      <c r="K42" s="84">
        <v>126</v>
      </c>
    </row>
    <row r="43" spans="2:12" ht="33" customHeight="1">
      <c r="B43" s="856">
        <v>10</v>
      </c>
      <c r="C43" s="164"/>
      <c r="D43" s="857" t="s">
        <v>200</v>
      </c>
      <c r="E43" s="857"/>
      <c r="F43" s="857"/>
      <c r="G43" s="858"/>
      <c r="H43" s="245">
        <v>2.7</v>
      </c>
      <c r="I43" s="204" t="s">
        <v>142</v>
      </c>
      <c r="J43" s="83">
        <f t="shared" ref="J43" si="4">K43/1.18</f>
        <v>290.68</v>
      </c>
      <c r="K43" s="84">
        <v>343</v>
      </c>
    </row>
    <row r="44" spans="2:12" ht="50.25" customHeight="1" thickBot="1">
      <c r="B44" s="837"/>
      <c r="C44" s="165"/>
      <c r="D44" s="859"/>
      <c r="E44" s="859"/>
      <c r="F44" s="859"/>
      <c r="G44" s="860"/>
      <c r="H44" s="252">
        <v>0.9</v>
      </c>
      <c r="I44" s="223" t="s">
        <v>141</v>
      </c>
      <c r="J44" s="85">
        <f t="shared" ref="J44" si="5">K44/1.18</f>
        <v>106.78</v>
      </c>
      <c r="K44" s="86">
        <v>126</v>
      </c>
    </row>
    <row r="45" spans="2:12" ht="17.25" customHeight="1" thickBot="1">
      <c r="B45" s="835"/>
      <c r="C45" s="836"/>
      <c r="D45" s="836"/>
      <c r="E45" s="836"/>
      <c r="F45" s="836"/>
      <c r="G45" s="836"/>
      <c r="H45" s="242"/>
      <c r="I45" s="246" t="s">
        <v>61</v>
      </c>
      <c r="J45" s="247"/>
      <c r="K45" s="248"/>
      <c r="L45" s="71"/>
    </row>
    <row r="46" spans="2:12" ht="30.75" customHeight="1">
      <c r="B46" s="837">
        <v>11</v>
      </c>
      <c r="C46" s="839" t="s">
        <v>89</v>
      </c>
      <c r="D46" s="840"/>
      <c r="E46" s="840"/>
      <c r="F46" s="840"/>
      <c r="G46" s="841"/>
      <c r="H46" s="225">
        <v>10.5</v>
      </c>
      <c r="I46" s="203" t="s">
        <v>131</v>
      </c>
      <c r="J46" s="81">
        <f t="shared" ref="J46" si="6">K46/1.18</f>
        <v>361.86</v>
      </c>
      <c r="K46" s="82">
        <v>427</v>
      </c>
      <c r="L46" s="71"/>
    </row>
    <row r="47" spans="2:12" ht="38.25" customHeight="1">
      <c r="B47" s="838"/>
      <c r="C47" s="842"/>
      <c r="D47" s="843"/>
      <c r="E47" s="843"/>
      <c r="F47" s="843"/>
      <c r="G47" s="844"/>
      <c r="H47" s="224">
        <v>3.3</v>
      </c>
      <c r="I47" s="226" t="s">
        <v>130</v>
      </c>
      <c r="J47" s="87">
        <f t="shared" ref="J47" si="7">K47/1.18</f>
        <v>122.03</v>
      </c>
      <c r="K47" s="163">
        <v>144</v>
      </c>
      <c r="L47" s="71"/>
    </row>
    <row r="48" spans="2:12" ht="30.75" customHeight="1">
      <c r="B48" s="845">
        <v>12</v>
      </c>
      <c r="C48" s="829" t="s">
        <v>121</v>
      </c>
      <c r="D48" s="830"/>
      <c r="E48" s="830"/>
      <c r="F48" s="830"/>
      <c r="G48" s="831"/>
      <c r="H48" s="225">
        <v>15</v>
      </c>
      <c r="I48" s="204" t="s">
        <v>133</v>
      </c>
      <c r="J48" s="147">
        <f t="shared" si="2"/>
        <v>1004.24</v>
      </c>
      <c r="K48" s="146">
        <v>1185</v>
      </c>
      <c r="L48" s="71"/>
    </row>
    <row r="49" spans="2:12" ht="46.5" customHeight="1">
      <c r="B49" s="838"/>
      <c r="C49" s="846"/>
      <c r="D49" s="847"/>
      <c r="E49" s="847"/>
      <c r="F49" s="847"/>
      <c r="G49" s="848"/>
      <c r="H49" s="225">
        <v>4.5</v>
      </c>
      <c r="I49" s="204" t="s">
        <v>132</v>
      </c>
      <c r="J49" s="83">
        <f t="shared" ref="J49" si="8">K49/1.18</f>
        <v>322.88</v>
      </c>
      <c r="K49" s="84">
        <v>381</v>
      </c>
      <c r="L49" s="71"/>
    </row>
    <row r="50" spans="2:12" ht="30.75" customHeight="1" thickBot="1">
      <c r="B50" s="827">
        <v>13</v>
      </c>
      <c r="C50" s="829" t="s">
        <v>321</v>
      </c>
      <c r="D50" s="830"/>
      <c r="E50" s="830"/>
      <c r="F50" s="830"/>
      <c r="G50" s="831"/>
      <c r="H50" s="222">
        <v>11</v>
      </c>
      <c r="I50" s="204" t="s">
        <v>135</v>
      </c>
      <c r="J50" s="83">
        <f t="shared" si="2"/>
        <v>992.37</v>
      </c>
      <c r="K50" s="84">
        <v>1171</v>
      </c>
      <c r="L50" s="71"/>
    </row>
    <row r="51" spans="2:12" ht="45.75" customHeight="1" thickBot="1">
      <c r="B51" s="828"/>
      <c r="C51" s="832"/>
      <c r="D51" s="833"/>
      <c r="E51" s="833"/>
      <c r="F51" s="833"/>
      <c r="G51" s="834"/>
      <c r="H51" s="243">
        <v>3.4</v>
      </c>
      <c r="I51" s="253" t="s">
        <v>134</v>
      </c>
      <c r="J51" s="85">
        <f t="shared" ref="J51" si="9">K51/1.18</f>
        <v>328.81</v>
      </c>
      <c r="K51" s="86">
        <v>388</v>
      </c>
      <c r="L51" s="71"/>
    </row>
    <row r="52" spans="2:12" ht="30.75" customHeight="1">
      <c r="B52" s="244"/>
      <c r="C52" s="237"/>
      <c r="D52" s="237"/>
      <c r="E52" s="237"/>
      <c r="F52" s="237"/>
      <c r="G52" s="237"/>
      <c r="H52" s="237"/>
      <c r="I52" s="237"/>
      <c r="J52" s="237"/>
      <c r="K52" s="237"/>
      <c r="L52" s="71"/>
    </row>
    <row r="53" spans="2:12" ht="12.75" customHeight="1">
      <c r="B53" s="71"/>
      <c r="C53" s="71"/>
      <c r="D53" s="71"/>
      <c r="E53" s="71"/>
      <c r="F53" s="71"/>
      <c r="H53" s="150"/>
    </row>
    <row r="54" spans="2:12" ht="12.75" customHeight="1">
      <c r="B54" s="71"/>
      <c r="C54" s="71"/>
      <c r="D54" s="160" t="s">
        <v>62</v>
      </c>
      <c r="E54" s="160"/>
      <c r="F54" s="160"/>
      <c r="G54" s="160"/>
      <c r="H54" s="151"/>
      <c r="I54" s="160"/>
      <c r="J54" s="71"/>
      <c r="K54" s="71"/>
    </row>
    <row r="55" spans="2:12" ht="12.75" customHeight="1">
      <c r="B55" s="71"/>
      <c r="C55" s="71"/>
      <c r="D55" s="76" t="s">
        <v>86</v>
      </c>
      <c r="E55" s="76" t="s">
        <v>87</v>
      </c>
      <c r="F55" s="76" t="s">
        <v>88</v>
      </c>
      <c r="G55" s="71"/>
      <c r="H55" s="239"/>
      <c r="I55" s="150"/>
      <c r="J55" s="71"/>
      <c r="K55" s="71"/>
    </row>
    <row r="56" spans="2:12" ht="13.5" customHeight="1">
      <c r="B56" s="71"/>
      <c r="C56" s="71"/>
      <c r="D56" s="77">
        <v>0.01</v>
      </c>
      <c r="E56" s="77">
        <v>0.02</v>
      </c>
      <c r="F56" s="77">
        <v>0.03</v>
      </c>
      <c r="G56" s="71"/>
      <c r="H56" s="71"/>
      <c r="I56" s="151"/>
      <c r="J56" s="71"/>
      <c r="K56" s="71"/>
    </row>
    <row r="57" spans="2:12" ht="12.75" customHeight="1">
      <c r="B57" s="71"/>
      <c r="C57" s="71"/>
      <c r="D57" s="152" t="s">
        <v>63</v>
      </c>
      <c r="E57" s="145"/>
      <c r="F57" s="145"/>
      <c r="H57" s="71"/>
      <c r="I57" s="71"/>
      <c r="J57" s="71"/>
      <c r="K57" s="71"/>
    </row>
    <row r="58" spans="2:12" ht="24.75" customHeight="1"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2:12">
      <c r="B59" s="71"/>
      <c r="C59" s="71"/>
      <c r="D59" s="71"/>
      <c r="E59" s="71"/>
      <c r="F59" s="71" t="s">
        <v>50</v>
      </c>
      <c r="G59" s="71"/>
      <c r="H59" s="71"/>
      <c r="I59" s="71"/>
      <c r="J59" s="71"/>
      <c r="K59" s="71"/>
    </row>
    <row r="60" spans="2:12">
      <c r="B60" s="71"/>
      <c r="C60" s="71"/>
      <c r="D60" s="71"/>
      <c r="E60" s="71"/>
      <c r="F60" s="71"/>
      <c r="G60" s="71"/>
      <c r="H60" s="71"/>
      <c r="I60" s="71"/>
      <c r="J60" s="71"/>
      <c r="K60" s="71"/>
    </row>
    <row r="61" spans="2:12"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spans="2:12"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2:12">
      <c r="B63" s="71"/>
      <c r="C63" s="71"/>
      <c r="D63" s="71"/>
      <c r="E63" s="71"/>
      <c r="F63" s="71"/>
      <c r="G63" s="71"/>
      <c r="H63" s="71"/>
      <c r="I63" s="71"/>
      <c r="J63" s="71"/>
      <c r="K63" s="71"/>
    </row>
    <row r="64" spans="2:12"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2:11"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2:11" ht="12.75" customHeight="1"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2:11">
      <c r="B67" s="71"/>
      <c r="C67" s="71"/>
      <c r="D67" s="71"/>
      <c r="E67" s="162"/>
      <c r="F67" s="71"/>
      <c r="G67" s="71"/>
      <c r="H67" s="71"/>
      <c r="I67" s="71"/>
      <c r="J67" s="71"/>
      <c r="K67" s="71"/>
    </row>
    <row r="68" spans="2:11"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69" spans="2:11"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2:11"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2:11">
      <c r="B71" s="71"/>
      <c r="C71" s="71"/>
      <c r="D71" s="71"/>
      <c r="E71" s="71"/>
      <c r="F71" s="71"/>
      <c r="G71" s="71"/>
      <c r="H71" s="71"/>
      <c r="I71" s="71"/>
      <c r="J71" s="71"/>
      <c r="K71" s="71"/>
    </row>
    <row r="72" spans="2:11">
      <c r="B72" s="71"/>
      <c r="C72" s="71"/>
      <c r="D72" s="71"/>
      <c r="E72" s="71"/>
      <c r="F72" s="71"/>
      <c r="G72" s="71"/>
      <c r="H72" s="71"/>
      <c r="I72" s="71"/>
      <c r="J72" s="71"/>
      <c r="K72" s="71"/>
    </row>
    <row r="73" spans="2:11"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2:11">
      <c r="B74" s="71"/>
      <c r="C74" s="71"/>
      <c r="D74" s="71"/>
      <c r="E74" s="71"/>
      <c r="F74" s="71"/>
      <c r="G74" s="71"/>
      <c r="H74" s="71"/>
      <c r="I74" s="71"/>
      <c r="J74" s="71"/>
      <c r="K74" s="71"/>
    </row>
    <row r="75" spans="2:11">
      <c r="B75" s="71"/>
      <c r="C75" s="71"/>
      <c r="D75" s="71"/>
      <c r="E75" s="71"/>
      <c r="F75" s="71"/>
      <c r="G75" s="71"/>
      <c r="H75" s="71"/>
      <c r="I75" s="71"/>
      <c r="J75" s="71"/>
      <c r="K75" s="71"/>
    </row>
    <row r="76" spans="2:11">
      <c r="B76" s="71"/>
      <c r="C76" s="71"/>
      <c r="D76" s="71"/>
      <c r="E76" s="71"/>
      <c r="F76" s="71"/>
      <c r="G76" s="71"/>
      <c r="H76" s="71"/>
      <c r="I76" s="71"/>
      <c r="J76" s="71"/>
      <c r="K76" s="71"/>
    </row>
    <row r="77" spans="2:11">
      <c r="B77" s="71"/>
      <c r="C77" s="71"/>
      <c r="D77" s="71"/>
      <c r="E77" s="71"/>
      <c r="F77" s="71"/>
      <c r="G77" s="71"/>
      <c r="H77" s="71"/>
      <c r="I77" s="71"/>
      <c r="J77" s="71"/>
      <c r="K77" s="71"/>
    </row>
    <row r="78" spans="2:11">
      <c r="B78" s="71"/>
      <c r="C78" s="71"/>
      <c r="D78" s="71"/>
      <c r="E78" s="71"/>
      <c r="F78" s="71"/>
      <c r="G78" s="71"/>
      <c r="H78" s="71"/>
      <c r="I78" s="71"/>
      <c r="J78" s="71"/>
      <c r="K78" s="71"/>
    </row>
    <row r="79" spans="2:11">
      <c r="B79" s="71"/>
      <c r="C79" s="71"/>
      <c r="D79" s="71"/>
      <c r="E79" s="71"/>
      <c r="F79" s="71"/>
      <c r="G79" s="71"/>
      <c r="H79" s="71"/>
      <c r="I79" s="71"/>
      <c r="J79" s="71"/>
      <c r="K79" s="71"/>
    </row>
    <row r="80" spans="2:11"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2:11">
      <c r="B81" s="71"/>
      <c r="C81" s="71"/>
      <c r="D81" s="71"/>
      <c r="E81" s="71"/>
      <c r="F81" s="71"/>
      <c r="G81" s="71"/>
      <c r="H81" s="71"/>
      <c r="I81" s="71"/>
      <c r="J81" s="71"/>
      <c r="K81" s="71"/>
    </row>
    <row r="82" spans="2:11">
      <c r="B82" s="71"/>
      <c r="C82" s="71"/>
      <c r="D82" s="71"/>
      <c r="E82" s="71"/>
      <c r="F82" s="71"/>
      <c r="G82" s="71"/>
      <c r="H82" s="71"/>
      <c r="I82" s="71"/>
      <c r="J82" s="71"/>
      <c r="K82" s="71"/>
    </row>
    <row r="83" spans="2:11">
      <c r="B83" s="71"/>
      <c r="C83" s="71"/>
      <c r="D83" s="71"/>
      <c r="E83" s="71"/>
      <c r="F83" s="71"/>
      <c r="G83" s="71"/>
      <c r="H83" s="71"/>
      <c r="I83" s="71"/>
      <c r="J83" s="71"/>
      <c r="K83" s="71"/>
    </row>
    <row r="84" spans="2:11">
      <c r="B84" s="71"/>
      <c r="C84" s="71"/>
      <c r="D84" s="71"/>
      <c r="E84" s="71"/>
      <c r="F84" s="71"/>
      <c r="G84" s="71"/>
      <c r="H84" s="71"/>
      <c r="I84" s="71"/>
      <c r="J84" s="71"/>
      <c r="K84" s="71"/>
    </row>
    <row r="85" spans="2:11">
      <c r="B85" s="71"/>
      <c r="C85" s="71"/>
      <c r="D85" s="71"/>
      <c r="E85" s="71"/>
      <c r="F85" s="71"/>
      <c r="G85" s="71"/>
      <c r="H85" s="71"/>
      <c r="I85" s="71"/>
      <c r="J85" s="71"/>
      <c r="K85" s="71"/>
    </row>
    <row r="86" spans="2:11">
      <c r="B86" s="71"/>
      <c r="C86" s="71"/>
      <c r="D86" s="71"/>
      <c r="E86" s="71"/>
      <c r="F86" s="71"/>
      <c r="G86" s="71"/>
      <c r="H86" s="71"/>
      <c r="I86" s="71"/>
      <c r="J86" s="71"/>
      <c r="K86" s="71"/>
    </row>
    <row r="87" spans="2:11">
      <c r="B87" s="71"/>
      <c r="C87" s="71"/>
      <c r="D87" s="71"/>
      <c r="E87" s="71"/>
      <c r="F87" s="71"/>
      <c r="G87" s="71"/>
      <c r="H87" s="71"/>
      <c r="I87" s="71"/>
      <c r="J87" s="71"/>
      <c r="K87" s="71"/>
    </row>
    <row r="88" spans="2:11">
      <c r="B88" s="71"/>
      <c r="C88" s="71"/>
      <c r="D88" s="71"/>
      <c r="E88" s="71"/>
      <c r="F88" s="71"/>
      <c r="G88" s="71"/>
      <c r="H88" s="71"/>
      <c r="I88" s="71"/>
      <c r="J88" s="71"/>
      <c r="K88" s="71"/>
    </row>
    <row r="89" spans="2:11">
      <c r="B89" s="71"/>
      <c r="C89" s="71"/>
      <c r="D89" s="71"/>
      <c r="E89" s="71"/>
      <c r="F89" s="71"/>
      <c r="G89" s="71"/>
      <c r="H89" s="71"/>
      <c r="I89" s="71"/>
      <c r="J89" s="71"/>
      <c r="K89" s="71"/>
    </row>
    <row r="90" spans="2:11">
      <c r="B90" s="71"/>
      <c r="C90" s="71"/>
      <c r="D90" s="71"/>
      <c r="E90" s="71"/>
      <c r="F90" s="71"/>
      <c r="G90" s="71"/>
      <c r="H90" s="71"/>
      <c r="I90" s="71"/>
      <c r="J90" s="71"/>
      <c r="K90" s="71"/>
    </row>
    <row r="91" spans="2:11"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2:11">
      <c r="B92" s="71"/>
      <c r="C92" s="71"/>
      <c r="D92" s="71"/>
      <c r="E92" s="71"/>
      <c r="F92" s="71"/>
      <c r="G92" s="71"/>
      <c r="H92" s="71"/>
      <c r="I92" s="71"/>
      <c r="J92" s="71"/>
      <c r="K92" s="71"/>
    </row>
    <row r="93" spans="2:11">
      <c r="B93" s="71"/>
      <c r="C93" s="71"/>
      <c r="D93" s="71"/>
      <c r="E93" s="71"/>
      <c r="F93" s="71"/>
      <c r="G93" s="71"/>
      <c r="H93" s="71"/>
      <c r="I93" s="71"/>
      <c r="J93" s="71"/>
      <c r="K93" s="71"/>
    </row>
    <row r="94" spans="2:11">
      <c r="B94" s="71"/>
      <c r="C94" s="71"/>
      <c r="D94" s="71"/>
      <c r="E94" s="71"/>
      <c r="F94" s="71"/>
      <c r="G94" s="71"/>
      <c r="H94" s="71"/>
      <c r="I94" s="71"/>
      <c r="J94" s="71"/>
      <c r="K94" s="71"/>
    </row>
    <row r="95" spans="2:11">
      <c r="B95" s="71"/>
      <c r="C95" s="71"/>
      <c r="D95" s="71"/>
      <c r="E95" s="71"/>
      <c r="F95" s="71"/>
      <c r="G95" s="71"/>
      <c r="H95" s="71"/>
      <c r="I95" s="71"/>
      <c r="J95" s="71"/>
      <c r="K95" s="71"/>
    </row>
    <row r="96" spans="2:11">
      <c r="B96" s="71"/>
      <c r="C96" s="71"/>
      <c r="D96" s="71"/>
      <c r="E96" s="71"/>
      <c r="F96" s="71"/>
      <c r="G96" s="71"/>
      <c r="H96" s="71"/>
      <c r="I96" s="71"/>
      <c r="J96" s="71"/>
      <c r="K96" s="71"/>
    </row>
    <row r="97" spans="2:11">
      <c r="B97" s="71"/>
      <c r="C97" s="71"/>
      <c r="D97" s="71"/>
      <c r="E97" s="71"/>
      <c r="F97" s="71"/>
      <c r="G97" s="71"/>
      <c r="H97" s="71"/>
      <c r="I97" s="71"/>
      <c r="J97" s="71"/>
      <c r="K97" s="71"/>
    </row>
    <row r="98" spans="2:11">
      <c r="B98" s="71"/>
      <c r="C98" s="71"/>
      <c r="D98" s="71"/>
      <c r="E98" s="71"/>
      <c r="F98" s="71"/>
      <c r="G98" s="71"/>
      <c r="H98" s="71"/>
      <c r="I98" s="71"/>
      <c r="J98" s="71"/>
      <c r="K98" s="71"/>
    </row>
    <row r="99" spans="2:11">
      <c r="B99" s="71"/>
      <c r="C99" s="71"/>
      <c r="D99" s="71"/>
      <c r="E99" s="71"/>
      <c r="F99" s="71"/>
      <c r="G99" s="71"/>
      <c r="H99" s="71"/>
      <c r="I99" s="71"/>
      <c r="J99" s="71"/>
      <c r="K99" s="71"/>
    </row>
    <row r="100" spans="2:11">
      <c r="B100" s="71"/>
      <c r="C100" s="71"/>
      <c r="D100" s="71"/>
      <c r="E100" s="71"/>
      <c r="F100" s="71"/>
      <c r="G100" s="71"/>
      <c r="H100" s="71"/>
      <c r="I100" s="71"/>
      <c r="J100" s="71"/>
      <c r="K100" s="71"/>
    </row>
    <row r="101" spans="2:11">
      <c r="B101" s="71"/>
      <c r="C101" s="71"/>
      <c r="D101" s="71"/>
      <c r="E101" s="71"/>
      <c r="F101" s="71"/>
      <c r="G101" s="71"/>
      <c r="H101" s="71"/>
      <c r="I101" s="71"/>
      <c r="J101" s="71"/>
      <c r="K101" s="71"/>
    </row>
    <row r="102" spans="2:11">
      <c r="B102" s="71"/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2:11">
      <c r="B103" s="71"/>
      <c r="C103" s="71"/>
      <c r="D103" s="71"/>
      <c r="E103" s="71"/>
      <c r="F103" s="71"/>
      <c r="G103" s="71"/>
      <c r="H103" s="71"/>
      <c r="I103" s="71"/>
      <c r="J103" s="71"/>
      <c r="K103" s="71"/>
    </row>
    <row r="104" spans="2:11">
      <c r="B104" s="71"/>
      <c r="C104" s="71"/>
      <c r="D104" s="71"/>
      <c r="E104" s="71"/>
      <c r="F104" s="71"/>
      <c r="G104" s="71"/>
      <c r="H104" s="71"/>
      <c r="I104" s="71"/>
      <c r="J104" s="71"/>
      <c r="K104" s="71"/>
    </row>
    <row r="105" spans="2:11">
      <c r="B105" s="71"/>
      <c r="C105" s="71"/>
      <c r="D105" s="71"/>
      <c r="E105" s="71"/>
      <c r="F105" s="71"/>
      <c r="G105" s="71"/>
      <c r="H105" s="71"/>
      <c r="I105" s="71"/>
      <c r="J105" s="71"/>
      <c r="K105" s="71"/>
    </row>
    <row r="106" spans="2:11">
      <c r="B106" s="71"/>
      <c r="C106" s="71"/>
      <c r="D106" s="71"/>
      <c r="E106" s="71"/>
      <c r="F106" s="71"/>
      <c r="G106" s="71"/>
      <c r="H106" s="71"/>
      <c r="I106" s="71"/>
      <c r="J106" s="71"/>
      <c r="K106" s="71"/>
    </row>
    <row r="107" spans="2:11">
      <c r="B107" s="71"/>
      <c r="C107" s="71"/>
      <c r="D107" s="71"/>
      <c r="E107" s="71"/>
      <c r="F107" s="71"/>
      <c r="G107" s="71"/>
      <c r="H107" s="71"/>
      <c r="I107" s="71"/>
      <c r="J107" s="71"/>
      <c r="K107" s="71"/>
    </row>
    <row r="108" spans="2:11">
      <c r="B108" s="71"/>
      <c r="C108" s="71"/>
      <c r="D108" s="71"/>
      <c r="E108" s="71"/>
      <c r="F108" s="71"/>
      <c r="G108" s="71"/>
      <c r="H108" s="71"/>
      <c r="I108" s="71"/>
      <c r="J108" s="71"/>
      <c r="K108" s="71"/>
    </row>
    <row r="109" spans="2:11">
      <c r="B109" s="71"/>
      <c r="C109" s="71"/>
      <c r="D109" s="71"/>
      <c r="E109" s="71"/>
      <c r="F109" s="71"/>
      <c r="G109" s="71"/>
      <c r="H109" s="71"/>
      <c r="I109" s="71"/>
      <c r="J109" s="71"/>
      <c r="K109" s="71"/>
    </row>
    <row r="110" spans="2:11">
      <c r="B110" s="71"/>
      <c r="C110" s="71"/>
      <c r="D110" s="71"/>
      <c r="E110" s="71"/>
      <c r="F110" s="71"/>
      <c r="G110" s="71"/>
      <c r="H110" s="71"/>
      <c r="I110" s="71"/>
      <c r="J110" s="71"/>
      <c r="K110" s="71"/>
    </row>
    <row r="111" spans="2:11">
      <c r="B111" s="71"/>
      <c r="C111" s="71"/>
      <c r="D111" s="71"/>
      <c r="E111" s="71"/>
      <c r="F111" s="71"/>
      <c r="G111" s="71"/>
      <c r="H111" s="71"/>
      <c r="I111" s="71"/>
      <c r="J111" s="71"/>
      <c r="K111" s="71"/>
    </row>
    <row r="112" spans="2:11">
      <c r="B112" s="71"/>
      <c r="C112" s="71"/>
      <c r="D112" s="71"/>
      <c r="E112" s="71"/>
      <c r="F112" s="71"/>
      <c r="G112" s="71"/>
      <c r="H112" s="71"/>
      <c r="I112" s="71"/>
      <c r="J112" s="71"/>
      <c r="K112" s="71"/>
    </row>
    <row r="113" spans="2:11">
      <c r="B113" s="71"/>
      <c r="C113" s="71"/>
      <c r="D113" s="71"/>
      <c r="E113" s="71"/>
      <c r="F113" s="71"/>
      <c r="G113" s="71"/>
      <c r="H113" s="71"/>
      <c r="I113" s="71"/>
      <c r="J113" s="71"/>
      <c r="K113" s="71"/>
    </row>
    <row r="114" spans="2:11">
      <c r="B114" s="71"/>
      <c r="C114" s="71"/>
      <c r="D114" s="71"/>
      <c r="E114" s="71"/>
      <c r="F114" s="71"/>
      <c r="G114" s="71"/>
      <c r="H114" s="71"/>
      <c r="I114" s="71"/>
      <c r="J114" s="71"/>
      <c r="K114" s="71"/>
    </row>
    <row r="115" spans="2:11">
      <c r="B115" s="71"/>
      <c r="C115" s="71"/>
      <c r="D115" s="71"/>
      <c r="E115" s="71"/>
      <c r="F115" s="71"/>
      <c r="G115" s="71"/>
      <c r="H115" s="71"/>
      <c r="I115" s="71"/>
      <c r="J115" s="71"/>
      <c r="K115" s="71"/>
    </row>
    <row r="116" spans="2:11">
      <c r="B116" s="71"/>
      <c r="C116" s="71"/>
      <c r="D116" s="71"/>
      <c r="E116" s="71"/>
      <c r="F116" s="71"/>
      <c r="G116" s="71"/>
      <c r="H116" s="71"/>
      <c r="I116" s="71"/>
      <c r="J116" s="71"/>
      <c r="K116" s="71"/>
    </row>
    <row r="117" spans="2:11">
      <c r="B117" s="71"/>
      <c r="C117" s="71"/>
      <c r="D117" s="71"/>
      <c r="E117" s="71"/>
      <c r="F117" s="71"/>
      <c r="G117" s="71"/>
      <c r="H117" s="71"/>
      <c r="I117" s="71"/>
      <c r="J117" s="71"/>
      <c r="K117" s="71"/>
    </row>
    <row r="118" spans="2:11">
      <c r="B118" s="71"/>
      <c r="C118" s="71"/>
      <c r="D118" s="71"/>
      <c r="E118" s="71"/>
      <c r="F118" s="71"/>
      <c r="G118" s="71"/>
      <c r="H118" s="71"/>
      <c r="I118" s="71"/>
      <c r="J118" s="71"/>
      <c r="K118" s="71"/>
    </row>
    <row r="119" spans="2:11">
      <c r="B119" s="71"/>
      <c r="C119" s="71"/>
      <c r="D119" s="71"/>
      <c r="E119" s="71"/>
      <c r="F119" s="71"/>
      <c r="G119" s="71"/>
      <c r="H119" s="71"/>
      <c r="I119" s="71"/>
      <c r="J119" s="71"/>
      <c r="K119" s="71"/>
    </row>
    <row r="120" spans="2:11">
      <c r="B120" s="71"/>
      <c r="C120" s="71"/>
      <c r="D120" s="71"/>
      <c r="E120" s="71"/>
      <c r="F120" s="71"/>
      <c r="G120" s="71"/>
      <c r="H120" s="71"/>
      <c r="I120" s="71"/>
      <c r="J120" s="71"/>
      <c r="K120" s="71"/>
    </row>
    <row r="121" spans="2:11">
      <c r="B121" s="71"/>
      <c r="C121" s="71"/>
      <c r="D121" s="71"/>
      <c r="E121" s="71"/>
      <c r="F121" s="71"/>
      <c r="G121" s="71"/>
      <c r="H121" s="71"/>
      <c r="I121" s="71"/>
      <c r="J121" s="71"/>
      <c r="K121" s="71"/>
    </row>
    <row r="122" spans="2:11">
      <c r="B122" s="71"/>
      <c r="C122" s="71"/>
      <c r="D122" s="71"/>
      <c r="E122" s="71"/>
      <c r="F122" s="71"/>
      <c r="G122" s="71"/>
      <c r="H122" s="71"/>
      <c r="I122" s="71"/>
      <c r="J122" s="71"/>
      <c r="K122" s="71"/>
    </row>
    <row r="123" spans="2:11">
      <c r="B123" s="71"/>
      <c r="C123" s="71"/>
      <c r="D123" s="71"/>
      <c r="E123" s="71"/>
      <c r="F123" s="71"/>
      <c r="G123" s="71"/>
      <c r="H123" s="71"/>
      <c r="I123" s="71"/>
      <c r="J123" s="71"/>
      <c r="K123" s="71"/>
    </row>
    <row r="124" spans="2:11">
      <c r="B124" s="71"/>
      <c r="C124" s="71"/>
      <c r="D124" s="71"/>
      <c r="E124" s="71"/>
      <c r="F124" s="71"/>
      <c r="G124" s="71"/>
      <c r="H124" s="71"/>
      <c r="I124" s="71"/>
      <c r="J124" s="71"/>
      <c r="K124" s="71"/>
    </row>
    <row r="125" spans="2:11">
      <c r="B125" s="71"/>
      <c r="C125" s="71"/>
      <c r="D125" s="71"/>
      <c r="E125" s="71"/>
      <c r="F125" s="71"/>
      <c r="G125" s="71"/>
      <c r="H125" s="71"/>
      <c r="I125" s="71"/>
      <c r="J125" s="71"/>
      <c r="K125" s="71"/>
    </row>
    <row r="126" spans="2:11">
      <c r="B126" s="71"/>
      <c r="C126" s="71"/>
      <c r="D126" s="71"/>
      <c r="E126" s="71"/>
      <c r="F126" s="71"/>
      <c r="G126" s="71"/>
      <c r="H126" s="71"/>
      <c r="I126" s="71"/>
      <c r="J126" s="71"/>
      <c r="K126" s="71"/>
    </row>
    <row r="127" spans="2:11">
      <c r="B127" s="71"/>
      <c r="C127" s="71"/>
      <c r="D127" s="71"/>
      <c r="E127" s="71"/>
      <c r="F127" s="71"/>
      <c r="G127" s="71"/>
      <c r="H127" s="71"/>
      <c r="I127" s="71"/>
      <c r="J127" s="71"/>
      <c r="K127" s="71"/>
    </row>
    <row r="128" spans="2:11">
      <c r="B128" s="71"/>
      <c r="C128" s="71"/>
      <c r="D128" s="71"/>
      <c r="E128" s="71"/>
      <c r="F128" s="71"/>
      <c r="G128" s="71"/>
      <c r="H128" s="71"/>
      <c r="I128" s="71"/>
      <c r="J128" s="71"/>
      <c r="K128" s="71"/>
    </row>
    <row r="129" spans="2:11">
      <c r="B129" s="71"/>
      <c r="C129" s="71"/>
      <c r="D129" s="71"/>
      <c r="E129" s="71"/>
      <c r="F129" s="71"/>
      <c r="G129" s="71"/>
      <c r="H129" s="71"/>
      <c r="I129" s="71"/>
      <c r="J129" s="71"/>
      <c r="K129" s="71"/>
    </row>
    <row r="130" spans="2:11">
      <c r="B130" s="71"/>
      <c r="C130" s="71"/>
      <c r="D130" s="71"/>
      <c r="E130" s="71"/>
      <c r="F130" s="71"/>
      <c r="G130" s="71"/>
      <c r="H130" s="71"/>
      <c r="I130" s="71"/>
      <c r="J130" s="71"/>
      <c r="K130" s="71"/>
    </row>
    <row r="131" spans="2:11">
      <c r="B131" s="71"/>
      <c r="C131" s="71"/>
      <c r="D131" s="71"/>
      <c r="E131" s="71"/>
      <c r="F131" s="71"/>
      <c r="G131" s="71"/>
      <c r="H131" s="71"/>
      <c r="I131" s="71"/>
      <c r="J131" s="71"/>
      <c r="K131" s="71"/>
    </row>
    <row r="132" spans="2:11">
      <c r="B132" s="71"/>
      <c r="C132" s="71"/>
      <c r="D132" s="71"/>
      <c r="E132" s="71"/>
      <c r="F132" s="71"/>
      <c r="G132" s="71"/>
      <c r="H132" s="71"/>
      <c r="I132" s="71"/>
      <c r="J132" s="71"/>
      <c r="K132" s="71"/>
    </row>
    <row r="133" spans="2:11">
      <c r="B133" s="71"/>
      <c r="C133" s="71"/>
      <c r="D133" s="71"/>
      <c r="E133" s="71"/>
      <c r="F133" s="71"/>
      <c r="G133" s="71"/>
      <c r="H133" s="71"/>
      <c r="I133" s="71"/>
      <c r="J133" s="71"/>
      <c r="K133" s="71"/>
    </row>
    <row r="134" spans="2:11">
      <c r="B134" s="71"/>
      <c r="C134" s="71"/>
      <c r="D134" s="71"/>
      <c r="E134" s="71"/>
      <c r="F134" s="71"/>
      <c r="G134" s="71"/>
      <c r="H134" s="71"/>
      <c r="I134" s="71"/>
      <c r="J134" s="71"/>
      <c r="K134" s="71"/>
    </row>
    <row r="135" spans="2:11">
      <c r="B135" s="71"/>
      <c r="C135" s="71"/>
      <c r="D135" s="71"/>
      <c r="E135" s="71"/>
      <c r="F135" s="71"/>
      <c r="G135" s="71"/>
      <c r="H135" s="71"/>
      <c r="I135" s="71"/>
      <c r="J135" s="71"/>
      <c r="K135" s="71"/>
    </row>
    <row r="136" spans="2:11">
      <c r="B136" s="71"/>
      <c r="C136" s="71"/>
      <c r="D136" s="71"/>
      <c r="E136" s="71"/>
      <c r="F136" s="71"/>
      <c r="G136" s="71"/>
      <c r="H136" s="71"/>
      <c r="I136" s="71"/>
      <c r="J136" s="71"/>
      <c r="K136" s="71"/>
    </row>
    <row r="137" spans="2:11">
      <c r="B137" s="71"/>
      <c r="C137" s="71"/>
      <c r="D137" s="71"/>
      <c r="E137" s="71"/>
      <c r="F137" s="71"/>
      <c r="G137" s="71"/>
      <c r="H137" s="71"/>
      <c r="I137" s="71"/>
      <c r="J137" s="71"/>
      <c r="K137" s="71"/>
    </row>
    <row r="138" spans="2:11">
      <c r="B138" s="71"/>
      <c r="C138" s="71"/>
      <c r="D138" s="71"/>
      <c r="E138" s="71"/>
      <c r="F138" s="71"/>
      <c r="G138" s="71"/>
      <c r="H138" s="71"/>
      <c r="I138" s="71"/>
      <c r="J138" s="71"/>
      <c r="K138" s="71"/>
    </row>
    <row r="139" spans="2:11">
      <c r="B139" s="71"/>
      <c r="C139" s="71"/>
      <c r="D139" s="71"/>
      <c r="E139" s="71"/>
      <c r="F139" s="71"/>
      <c r="G139" s="71"/>
      <c r="H139" s="71"/>
      <c r="I139" s="71"/>
      <c r="J139" s="71"/>
      <c r="K139" s="71"/>
    </row>
    <row r="140" spans="2:11">
      <c r="B140" s="71"/>
      <c r="C140" s="71"/>
      <c r="D140" s="71"/>
      <c r="E140" s="71"/>
      <c r="F140" s="71"/>
      <c r="G140" s="71"/>
      <c r="I140" s="71"/>
      <c r="J140" s="71"/>
      <c r="K140" s="71"/>
    </row>
    <row r="141" spans="2:11">
      <c r="B141" s="71"/>
      <c r="C141" s="71"/>
      <c r="D141" s="71"/>
      <c r="E141" s="71"/>
      <c r="F141" s="71"/>
      <c r="G141" s="71"/>
      <c r="I141" s="71"/>
      <c r="J141" s="71"/>
      <c r="K141" s="71"/>
    </row>
  </sheetData>
  <sheetProtection selectLockedCells="1"/>
  <mergeCells count="36">
    <mergeCell ref="B36:B38"/>
    <mergeCell ref="C36:G38"/>
    <mergeCell ref="B27:B29"/>
    <mergeCell ref="C27:G29"/>
    <mergeCell ref="C30:G32"/>
    <mergeCell ref="B30:B32"/>
    <mergeCell ref="B33:B35"/>
    <mergeCell ref="C33:G35"/>
    <mergeCell ref="B43:B44"/>
    <mergeCell ref="D43:G44"/>
    <mergeCell ref="C39:G39"/>
    <mergeCell ref="B40:B42"/>
    <mergeCell ref="D40:G42"/>
    <mergeCell ref="D1:K1"/>
    <mergeCell ref="D2:K2"/>
    <mergeCell ref="B10:B13"/>
    <mergeCell ref="C10:G13"/>
    <mergeCell ref="C14:G17"/>
    <mergeCell ref="B14:B17"/>
    <mergeCell ref="B50:B51"/>
    <mergeCell ref="C50:G51"/>
    <mergeCell ref="B45:G45"/>
    <mergeCell ref="B46:B47"/>
    <mergeCell ref="C46:G47"/>
    <mergeCell ref="B48:B49"/>
    <mergeCell ref="C48:G49"/>
    <mergeCell ref="L2:L3"/>
    <mergeCell ref="C9:G9"/>
    <mergeCell ref="D3:K3"/>
    <mergeCell ref="B4:K6"/>
    <mergeCell ref="C8:G8"/>
    <mergeCell ref="B26:G26"/>
    <mergeCell ref="B18:B21"/>
    <mergeCell ref="C18:G21"/>
    <mergeCell ref="B22:B25"/>
    <mergeCell ref="C22:G25"/>
  </mergeCells>
  <phoneticPr fontId="2" type="noConversion"/>
  <pageMargins left="0.31496062992125984" right="0.23622047244094491" top="0.23622047244094491" bottom="0.55118110236220474" header="0.19685039370078741" footer="0.51181102362204722"/>
  <pageSetup paperSize="9" scale="5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80" zoomScaleNormal="100" zoomScaleSheetLayoutView="80" workbookViewId="0">
      <pane ySplit="4" topLeftCell="A71" activePane="bottomLeft" state="frozen"/>
      <selection pane="bottomLeft" activeCell="C65" sqref="C65:F65"/>
    </sheetView>
  </sheetViews>
  <sheetFormatPr defaultRowHeight="12.75"/>
  <cols>
    <col min="1" max="1" width="4.85546875" customWidth="1"/>
    <col min="2" max="2" width="90.85546875" customWidth="1"/>
    <col min="3" max="3" width="11" customWidth="1"/>
    <col min="4" max="4" width="10.5703125" customWidth="1"/>
    <col min="5" max="5" width="10.85546875" customWidth="1"/>
    <col min="6" max="6" width="7.140625" hidden="1" customWidth="1"/>
    <col min="7" max="7" width="13.28515625" customWidth="1"/>
    <col min="8" max="8" width="16.140625" customWidth="1"/>
    <col min="9" max="9" width="15.7109375" customWidth="1"/>
    <col min="10" max="10" width="17" customWidth="1"/>
    <col min="11" max="11" width="14.140625" customWidth="1"/>
  </cols>
  <sheetData>
    <row r="1" spans="1:11" ht="46.5" customHeight="1">
      <c r="C1" s="939" t="s">
        <v>217</v>
      </c>
      <c r="D1" s="939"/>
      <c r="E1" s="939"/>
      <c r="F1" s="939"/>
      <c r="G1" s="939"/>
      <c r="H1" s="939"/>
    </row>
    <row r="2" spans="1:11" ht="33.75" customHeight="1">
      <c r="A2" s="938" t="s">
        <v>289</v>
      </c>
      <c r="B2" s="938"/>
      <c r="C2" s="938"/>
      <c r="D2" s="938"/>
      <c r="E2" s="938"/>
      <c r="F2" s="938"/>
      <c r="G2" s="938"/>
      <c r="H2" s="938"/>
      <c r="I2" s="938"/>
      <c r="J2" s="938"/>
      <c r="K2" s="938"/>
    </row>
    <row r="3" spans="1:11" ht="39" customHeight="1">
      <c r="A3" s="940" t="s">
        <v>0</v>
      </c>
      <c r="B3" s="942" t="s">
        <v>55</v>
      </c>
      <c r="C3" s="944" t="s">
        <v>218</v>
      </c>
      <c r="D3" s="945"/>
      <c r="E3" s="946"/>
      <c r="F3" s="283"/>
      <c r="G3" s="947" t="s">
        <v>288</v>
      </c>
      <c r="H3" s="947" t="s">
        <v>256</v>
      </c>
      <c r="I3" s="949" t="s">
        <v>264</v>
      </c>
      <c r="J3" s="942" t="s">
        <v>251</v>
      </c>
      <c r="K3" s="942" t="s">
        <v>252</v>
      </c>
    </row>
    <row r="4" spans="1:11" ht="51">
      <c r="A4" s="941"/>
      <c r="B4" s="943"/>
      <c r="C4" s="311" t="s">
        <v>2</v>
      </c>
      <c r="D4" s="311" t="s">
        <v>100</v>
      </c>
      <c r="E4" s="311" t="s">
        <v>166</v>
      </c>
      <c r="F4" s="311"/>
      <c r="G4" s="948"/>
      <c r="H4" s="948"/>
      <c r="I4" s="950"/>
      <c r="J4" s="943"/>
      <c r="K4" s="943"/>
    </row>
    <row r="5" spans="1:11" ht="17.25" customHeight="1">
      <c r="A5" s="951" t="s">
        <v>25</v>
      </c>
      <c r="B5" s="951"/>
      <c r="C5" s="951"/>
      <c r="D5" s="951"/>
      <c r="E5" s="951"/>
      <c r="F5" s="951"/>
      <c r="G5" s="951"/>
      <c r="H5" s="951"/>
      <c r="I5" s="951"/>
      <c r="J5" s="951"/>
      <c r="K5" s="951"/>
    </row>
    <row r="6" spans="1:11" ht="15">
      <c r="A6" s="891">
        <v>1</v>
      </c>
      <c r="B6" s="927" t="s">
        <v>260</v>
      </c>
      <c r="C6" s="930">
        <v>200</v>
      </c>
      <c r="D6" s="933" t="s">
        <v>265</v>
      </c>
      <c r="E6" s="933" t="s">
        <v>15</v>
      </c>
      <c r="F6" s="284">
        <v>46</v>
      </c>
      <c r="G6" s="285" t="s">
        <v>219</v>
      </c>
      <c r="H6" s="286">
        <f>I6/F6</f>
        <v>129.35</v>
      </c>
      <c r="I6" s="287">
        <f>'[1]Прайс пром.'!N7</f>
        <v>5950</v>
      </c>
      <c r="J6" s="288">
        <f>ROUNDUP(I6*1.15,0)</f>
        <v>6843</v>
      </c>
      <c r="K6" s="288">
        <f>ROUNDUP(I6*1.3,0)</f>
        <v>7735</v>
      </c>
    </row>
    <row r="7" spans="1:11" ht="15">
      <c r="A7" s="892"/>
      <c r="B7" s="928"/>
      <c r="C7" s="931"/>
      <c r="D7" s="931"/>
      <c r="E7" s="931"/>
      <c r="F7" s="289">
        <v>22</v>
      </c>
      <c r="G7" s="290" t="str">
        <f>'[1]прайс быт.'!I10</f>
        <v>22 кг</v>
      </c>
      <c r="H7" s="286">
        <f t="shared" ref="H7:H69" si="0">I7/F7</f>
        <v>135.82</v>
      </c>
      <c r="I7" s="291">
        <f>'[1]прайс быт.'!K10</f>
        <v>2988</v>
      </c>
      <c r="J7" s="288">
        <f t="shared" ref="J7:J57" si="1">ROUNDUP(I7*1.15,0)</f>
        <v>3437</v>
      </c>
      <c r="K7" s="288">
        <f>ROUNDUP(I7*1.3,0)</f>
        <v>3885</v>
      </c>
    </row>
    <row r="8" spans="1:11" ht="15" hidden="1">
      <c r="A8" s="892"/>
      <c r="B8" s="928"/>
      <c r="C8" s="931"/>
      <c r="D8" s="931"/>
      <c r="E8" s="931"/>
      <c r="F8" s="289">
        <v>10</v>
      </c>
      <c r="G8" s="290" t="str">
        <f>'[1]прайс быт.'!I11</f>
        <v>10 кг</v>
      </c>
      <c r="H8" s="286">
        <f t="shared" si="0"/>
        <v>146.30000000000001</v>
      </c>
      <c r="I8" s="291">
        <f>'[1]прайс быт.'!K11</f>
        <v>1463</v>
      </c>
      <c r="J8" s="288">
        <f t="shared" si="1"/>
        <v>1683</v>
      </c>
      <c r="K8" s="288">
        <f>ROUNDUP(I8*1.3,0)</f>
        <v>1902</v>
      </c>
    </row>
    <row r="9" spans="1:11" ht="15">
      <c r="A9" s="892"/>
      <c r="B9" s="928"/>
      <c r="C9" s="931"/>
      <c r="D9" s="931"/>
      <c r="E9" s="931"/>
      <c r="F9" s="289">
        <v>3.2</v>
      </c>
      <c r="G9" s="290" t="str">
        <f>'[1]прайс быт.'!I12</f>
        <v>3,2 кг</v>
      </c>
      <c r="H9" s="286">
        <f t="shared" si="0"/>
        <v>153.75</v>
      </c>
      <c r="I9" s="291">
        <f>'[1]прайс быт.'!K12</f>
        <v>492</v>
      </c>
      <c r="J9" s="288">
        <f t="shared" si="1"/>
        <v>566</v>
      </c>
      <c r="K9" s="288">
        <f t="shared" ref="K9:K35" si="2">ROUNDUP(I9*1.3,0)</f>
        <v>640</v>
      </c>
    </row>
    <row r="10" spans="1:11" ht="21.75" customHeight="1">
      <c r="A10" s="893"/>
      <c r="B10" s="929"/>
      <c r="C10" s="932"/>
      <c r="D10" s="932"/>
      <c r="E10" s="932"/>
      <c r="F10" s="292">
        <v>1</v>
      </c>
      <c r="G10" s="290" t="str">
        <f>'[1]прайс быт.'!I13</f>
        <v>1 кг</v>
      </c>
      <c r="H10" s="286">
        <f t="shared" si="0"/>
        <v>162</v>
      </c>
      <c r="I10" s="291">
        <f>'[1]прайс быт.'!K13</f>
        <v>162</v>
      </c>
      <c r="J10" s="288">
        <f t="shared" si="1"/>
        <v>187</v>
      </c>
      <c r="K10" s="288">
        <f t="shared" si="2"/>
        <v>211</v>
      </c>
    </row>
    <row r="11" spans="1:11" ht="18" customHeight="1">
      <c r="A11" s="866">
        <v>2</v>
      </c>
      <c r="B11" s="868" t="s">
        <v>262</v>
      </c>
      <c r="C11" s="923">
        <v>100</v>
      </c>
      <c r="D11" s="926" t="s">
        <v>220</v>
      </c>
      <c r="E11" s="923">
        <v>400</v>
      </c>
      <c r="F11" s="293">
        <v>50</v>
      </c>
      <c r="G11" s="294" t="s">
        <v>221</v>
      </c>
      <c r="H11" s="295">
        <f t="shared" si="0"/>
        <v>130</v>
      </c>
      <c r="I11" s="287">
        <f>'[1]Прайс пром.'!N8</f>
        <v>6500</v>
      </c>
      <c r="J11" s="296">
        <f t="shared" si="1"/>
        <v>7475</v>
      </c>
      <c r="K11" s="296">
        <f t="shared" si="2"/>
        <v>8450</v>
      </c>
    </row>
    <row r="12" spans="1:11" ht="18.75" customHeight="1">
      <c r="A12" s="921"/>
      <c r="B12" s="922"/>
      <c r="C12" s="924"/>
      <c r="D12" s="924"/>
      <c r="E12" s="924"/>
      <c r="F12" s="297">
        <v>26</v>
      </c>
      <c r="G12" s="298" t="str">
        <f>'[1]прайс быт.'!I14</f>
        <v>26 кг</v>
      </c>
      <c r="H12" s="295">
        <f t="shared" si="0"/>
        <v>139.12</v>
      </c>
      <c r="I12" s="291">
        <v>3617</v>
      </c>
      <c r="J12" s="296">
        <f t="shared" si="1"/>
        <v>4160</v>
      </c>
      <c r="K12" s="296">
        <f t="shared" si="2"/>
        <v>4703</v>
      </c>
    </row>
    <row r="13" spans="1:11" ht="15" hidden="1">
      <c r="A13" s="921"/>
      <c r="B13" s="922"/>
      <c r="C13" s="924"/>
      <c r="D13" s="924"/>
      <c r="E13" s="924"/>
      <c r="F13" s="297">
        <v>11</v>
      </c>
      <c r="G13" s="298" t="str">
        <f>'[1]прайс быт.'!I15</f>
        <v>11 кг</v>
      </c>
      <c r="H13" s="295">
        <f t="shared" si="0"/>
        <v>146.82</v>
      </c>
      <c r="I13" s="291">
        <v>1615</v>
      </c>
      <c r="J13" s="296">
        <f t="shared" si="1"/>
        <v>1858</v>
      </c>
      <c r="K13" s="296">
        <f t="shared" si="2"/>
        <v>2100</v>
      </c>
    </row>
    <row r="14" spans="1:11" ht="23.25" customHeight="1">
      <c r="A14" s="921"/>
      <c r="B14" s="922"/>
      <c r="C14" s="924"/>
      <c r="D14" s="924"/>
      <c r="E14" s="924"/>
      <c r="F14" s="297">
        <v>3.2</v>
      </c>
      <c r="G14" s="298" t="str">
        <f>'[1]прайс быт.'!I16</f>
        <v>3,5 кг</v>
      </c>
      <c r="H14" s="295">
        <f t="shared" si="0"/>
        <v>174.38</v>
      </c>
      <c r="I14" s="291">
        <v>558</v>
      </c>
      <c r="J14" s="296">
        <f t="shared" si="1"/>
        <v>642</v>
      </c>
      <c r="K14" s="296">
        <f t="shared" si="2"/>
        <v>726</v>
      </c>
    </row>
    <row r="15" spans="1:11" ht="32.25" customHeight="1">
      <c r="A15" s="867"/>
      <c r="B15" s="869"/>
      <c r="C15" s="925"/>
      <c r="D15" s="925"/>
      <c r="E15" s="925"/>
      <c r="F15" s="299">
        <v>1.1000000000000001</v>
      </c>
      <c r="G15" s="298" t="str">
        <f>'[1]прайс быт.'!I17</f>
        <v>1,1 кг</v>
      </c>
      <c r="H15" s="295">
        <f t="shared" si="0"/>
        <v>170.91</v>
      </c>
      <c r="I15" s="291">
        <v>188</v>
      </c>
      <c r="J15" s="296">
        <f t="shared" si="1"/>
        <v>217</v>
      </c>
      <c r="K15" s="296">
        <f t="shared" si="2"/>
        <v>245</v>
      </c>
    </row>
    <row r="16" spans="1:11" ht="15">
      <c r="A16" s="891">
        <v>3</v>
      </c>
      <c r="B16" s="927" t="s">
        <v>222</v>
      </c>
      <c r="C16" s="930">
        <v>100</v>
      </c>
      <c r="D16" s="933" t="s">
        <v>220</v>
      </c>
      <c r="E16" s="930">
        <v>400</v>
      </c>
      <c r="F16" s="284">
        <v>50</v>
      </c>
      <c r="G16" s="285" t="s">
        <v>221</v>
      </c>
      <c r="H16" s="286">
        <f t="shared" si="0"/>
        <v>151.62</v>
      </c>
      <c r="I16" s="287">
        <f>'[1]Прайс пром.'!N9</f>
        <v>7581</v>
      </c>
      <c r="J16" s="288">
        <f t="shared" si="1"/>
        <v>8719</v>
      </c>
      <c r="K16" s="288">
        <f t="shared" si="2"/>
        <v>9856</v>
      </c>
    </row>
    <row r="17" spans="1:11" ht="15">
      <c r="A17" s="892"/>
      <c r="B17" s="928"/>
      <c r="C17" s="931"/>
      <c r="D17" s="931"/>
      <c r="E17" s="931"/>
      <c r="F17" s="289">
        <v>26</v>
      </c>
      <c r="G17" s="290" t="s">
        <v>159</v>
      </c>
      <c r="H17" s="286">
        <f t="shared" si="0"/>
        <v>162.22999999999999</v>
      </c>
      <c r="I17" s="291">
        <v>4218</v>
      </c>
      <c r="J17" s="288">
        <f t="shared" si="1"/>
        <v>4851</v>
      </c>
      <c r="K17" s="288">
        <f t="shared" si="2"/>
        <v>5484</v>
      </c>
    </row>
    <row r="18" spans="1:11" ht="15" hidden="1">
      <c r="A18" s="892"/>
      <c r="B18" s="928"/>
      <c r="C18" s="931"/>
      <c r="D18" s="931"/>
      <c r="E18" s="931"/>
      <c r="F18" s="289">
        <v>11</v>
      </c>
      <c r="G18" s="290" t="s">
        <v>135</v>
      </c>
      <c r="H18" s="286">
        <f t="shared" si="0"/>
        <v>171</v>
      </c>
      <c r="I18" s="291">
        <v>1881</v>
      </c>
      <c r="J18" s="288">
        <f t="shared" si="1"/>
        <v>2164</v>
      </c>
      <c r="K18" s="288">
        <f t="shared" si="2"/>
        <v>2446</v>
      </c>
    </row>
    <row r="19" spans="1:11" ht="15">
      <c r="A19" s="892"/>
      <c r="B19" s="928"/>
      <c r="C19" s="931"/>
      <c r="D19" s="931"/>
      <c r="E19" s="931"/>
      <c r="F19" s="289">
        <v>3.5</v>
      </c>
      <c r="G19" s="290" t="s">
        <v>170</v>
      </c>
      <c r="H19" s="286">
        <f t="shared" si="0"/>
        <v>186</v>
      </c>
      <c r="I19" s="291">
        <v>651</v>
      </c>
      <c r="J19" s="288">
        <f t="shared" si="1"/>
        <v>749</v>
      </c>
      <c r="K19" s="288">
        <f t="shared" si="2"/>
        <v>847</v>
      </c>
    </row>
    <row r="20" spans="1:11" ht="15">
      <c r="A20" s="893"/>
      <c r="B20" s="929"/>
      <c r="C20" s="932"/>
      <c r="D20" s="932"/>
      <c r="E20" s="932"/>
      <c r="F20" s="292">
        <v>1.1000000000000001</v>
      </c>
      <c r="G20" s="290" t="s">
        <v>171</v>
      </c>
      <c r="H20" s="286">
        <f t="shared" si="0"/>
        <v>199.09</v>
      </c>
      <c r="I20" s="291">
        <v>219</v>
      </c>
      <c r="J20" s="288">
        <f t="shared" si="1"/>
        <v>252</v>
      </c>
      <c r="K20" s="288">
        <f t="shared" si="2"/>
        <v>285</v>
      </c>
    </row>
    <row r="21" spans="1:11" ht="15">
      <c r="A21" s="866">
        <v>4</v>
      </c>
      <c r="B21" s="868" t="s">
        <v>284</v>
      </c>
      <c r="C21" s="923">
        <v>100</v>
      </c>
      <c r="D21" s="926" t="s">
        <v>220</v>
      </c>
      <c r="E21" s="923">
        <v>400</v>
      </c>
      <c r="F21" s="293">
        <v>50</v>
      </c>
      <c r="G21" s="294" t="s">
        <v>221</v>
      </c>
      <c r="H21" s="295">
        <f t="shared" si="0"/>
        <v>181.66</v>
      </c>
      <c r="I21" s="287">
        <f>'[1]Прайс пром.'!N11</f>
        <v>9083</v>
      </c>
      <c r="J21" s="296">
        <f t="shared" si="1"/>
        <v>10446</v>
      </c>
      <c r="K21" s="296">
        <f t="shared" si="2"/>
        <v>11808</v>
      </c>
    </row>
    <row r="22" spans="1:11" ht="25.5" customHeight="1">
      <c r="A22" s="921"/>
      <c r="B22" s="922"/>
      <c r="C22" s="924"/>
      <c r="D22" s="924"/>
      <c r="E22" s="924"/>
      <c r="F22" s="297">
        <v>24</v>
      </c>
      <c r="G22" s="298" t="s">
        <v>160</v>
      </c>
      <c r="H22" s="295">
        <f t="shared" si="0"/>
        <v>194.38</v>
      </c>
      <c r="I22" s="291">
        <v>4665</v>
      </c>
      <c r="J22" s="296">
        <f t="shared" si="1"/>
        <v>5365</v>
      </c>
      <c r="K22" s="296">
        <f t="shared" si="2"/>
        <v>6065</v>
      </c>
    </row>
    <row r="23" spans="1:11" ht="9.75" hidden="1" customHeight="1">
      <c r="A23" s="921"/>
      <c r="B23" s="922"/>
      <c r="C23" s="924"/>
      <c r="D23" s="924"/>
      <c r="E23" s="924"/>
      <c r="F23" s="297">
        <v>11</v>
      </c>
      <c r="G23" s="298" t="s">
        <v>135</v>
      </c>
      <c r="H23" s="295">
        <f t="shared" si="0"/>
        <v>209</v>
      </c>
      <c r="I23" s="291">
        <v>2299</v>
      </c>
      <c r="J23" s="296">
        <f t="shared" si="1"/>
        <v>2644</v>
      </c>
      <c r="K23" s="296">
        <f t="shared" si="2"/>
        <v>2989</v>
      </c>
    </row>
    <row r="24" spans="1:11" ht="30.75" customHeight="1">
      <c r="A24" s="921"/>
      <c r="B24" s="922"/>
      <c r="C24" s="924"/>
      <c r="D24" s="924"/>
      <c r="E24" s="924"/>
      <c r="F24" s="297">
        <v>3.2</v>
      </c>
      <c r="G24" s="298" t="s">
        <v>170</v>
      </c>
      <c r="H24" s="295">
        <f t="shared" si="0"/>
        <v>244.69</v>
      </c>
      <c r="I24" s="291">
        <v>783</v>
      </c>
      <c r="J24" s="296">
        <f t="shared" si="1"/>
        <v>901</v>
      </c>
      <c r="K24" s="296">
        <f t="shared" si="2"/>
        <v>1018</v>
      </c>
    </row>
    <row r="25" spans="1:11" ht="27" customHeight="1">
      <c r="A25" s="867"/>
      <c r="B25" s="869"/>
      <c r="C25" s="925"/>
      <c r="D25" s="925"/>
      <c r="E25" s="925"/>
      <c r="F25" s="299">
        <v>1.1000000000000001</v>
      </c>
      <c r="G25" s="298" t="s">
        <v>171</v>
      </c>
      <c r="H25" s="295">
        <f t="shared" si="0"/>
        <v>246.36</v>
      </c>
      <c r="I25" s="291">
        <v>271</v>
      </c>
      <c r="J25" s="296">
        <f t="shared" si="1"/>
        <v>312</v>
      </c>
      <c r="K25" s="296">
        <f t="shared" si="2"/>
        <v>353</v>
      </c>
    </row>
    <row r="26" spans="1:11" ht="38.25">
      <c r="A26" s="300">
        <v>5</v>
      </c>
      <c r="B26" s="301" t="s">
        <v>305</v>
      </c>
      <c r="C26" s="302" t="s">
        <v>15</v>
      </c>
      <c r="D26" s="302" t="s">
        <v>223</v>
      </c>
      <c r="E26" s="302" t="s">
        <v>15</v>
      </c>
      <c r="F26" s="285">
        <v>25</v>
      </c>
      <c r="G26" s="285" t="s">
        <v>224</v>
      </c>
      <c r="H26" s="286">
        <f t="shared" si="0"/>
        <v>59</v>
      </c>
      <c r="I26" s="287">
        <v>1475</v>
      </c>
      <c r="J26" s="288">
        <f t="shared" si="1"/>
        <v>1697</v>
      </c>
      <c r="K26" s="288">
        <f t="shared" si="2"/>
        <v>1918</v>
      </c>
    </row>
    <row r="27" spans="1:11" ht="15">
      <c r="A27" s="934">
        <v>6</v>
      </c>
      <c r="B27" s="935" t="s">
        <v>306</v>
      </c>
      <c r="C27" s="926" t="s">
        <v>15</v>
      </c>
      <c r="D27" s="303" t="s">
        <v>225</v>
      </c>
      <c r="E27" s="926" t="s">
        <v>15</v>
      </c>
      <c r="F27" s="293">
        <v>48</v>
      </c>
      <c r="G27" s="304" t="s">
        <v>226</v>
      </c>
      <c r="H27" s="295">
        <f t="shared" si="0"/>
        <v>65.959999999999994</v>
      </c>
      <c r="I27" s="305" t="s">
        <v>227</v>
      </c>
      <c r="J27" s="296">
        <f t="shared" si="1"/>
        <v>3641</v>
      </c>
      <c r="K27" s="296">
        <f t="shared" si="2"/>
        <v>4116</v>
      </c>
    </row>
    <row r="28" spans="1:11" ht="21.75" customHeight="1">
      <c r="A28" s="934"/>
      <c r="B28" s="935"/>
      <c r="C28" s="924"/>
      <c r="D28" s="936" t="s">
        <v>228</v>
      </c>
      <c r="E28" s="924"/>
      <c r="F28" s="297">
        <v>65</v>
      </c>
      <c r="G28" s="294" t="s">
        <v>229</v>
      </c>
      <c r="H28" s="295">
        <f t="shared" si="0"/>
        <v>157.47999999999999</v>
      </c>
      <c r="I28" s="306">
        <v>10236</v>
      </c>
      <c r="J28" s="296">
        <f t="shared" si="1"/>
        <v>11772</v>
      </c>
      <c r="K28" s="296">
        <f t="shared" si="2"/>
        <v>13307</v>
      </c>
    </row>
    <row r="29" spans="1:11" ht="30" customHeight="1">
      <c r="A29" s="934"/>
      <c r="B29" s="935"/>
      <c r="C29" s="924"/>
      <c r="D29" s="937"/>
      <c r="E29" s="924"/>
      <c r="F29" s="297">
        <v>16</v>
      </c>
      <c r="G29" s="294" t="s">
        <v>230</v>
      </c>
      <c r="H29" s="295">
        <f t="shared" si="0"/>
        <v>168.5</v>
      </c>
      <c r="I29" s="306">
        <v>2696</v>
      </c>
      <c r="J29" s="296">
        <f t="shared" si="1"/>
        <v>3101</v>
      </c>
      <c r="K29" s="296">
        <f t="shared" si="2"/>
        <v>3505</v>
      </c>
    </row>
    <row r="30" spans="1:11" ht="29.25" customHeight="1">
      <c r="A30" s="934"/>
      <c r="B30" s="935"/>
      <c r="C30" s="925"/>
      <c r="D30" s="937"/>
      <c r="E30" s="925"/>
      <c r="F30" s="299">
        <v>5</v>
      </c>
      <c r="G30" s="294" t="s">
        <v>231</v>
      </c>
      <c r="H30" s="295">
        <f t="shared" si="0"/>
        <v>180.4</v>
      </c>
      <c r="I30" s="306">
        <v>902</v>
      </c>
      <c r="J30" s="296">
        <f t="shared" si="1"/>
        <v>1038</v>
      </c>
      <c r="K30" s="296">
        <f t="shared" si="2"/>
        <v>1173</v>
      </c>
    </row>
    <row r="31" spans="1:11" ht="15" hidden="1">
      <c r="A31" s="891">
        <v>7</v>
      </c>
      <c r="B31" s="927" t="s">
        <v>273</v>
      </c>
      <c r="C31" s="933" t="s">
        <v>15</v>
      </c>
      <c r="D31" s="933" t="s">
        <v>232</v>
      </c>
      <c r="E31" s="933" t="s">
        <v>15</v>
      </c>
      <c r="F31" s="284">
        <v>9.5</v>
      </c>
      <c r="G31" s="285" t="s">
        <v>233</v>
      </c>
      <c r="H31" s="286">
        <f t="shared" si="0"/>
        <v>126.95</v>
      </c>
      <c r="I31" s="287">
        <f>'[1]Прайс пром.'!N21</f>
        <v>1206</v>
      </c>
      <c r="J31" s="288">
        <f t="shared" si="1"/>
        <v>1387</v>
      </c>
      <c r="K31" s="288">
        <f t="shared" si="2"/>
        <v>1568</v>
      </c>
    </row>
    <row r="32" spans="1:11" ht="22.5" customHeight="1">
      <c r="A32" s="892"/>
      <c r="B32" s="928"/>
      <c r="C32" s="931"/>
      <c r="D32" s="931"/>
      <c r="E32" s="931"/>
      <c r="F32" s="289">
        <v>21</v>
      </c>
      <c r="G32" s="285" t="s">
        <v>234</v>
      </c>
      <c r="H32" s="286">
        <f t="shared" si="0"/>
        <v>118.62</v>
      </c>
      <c r="I32" s="287">
        <f>'[1]Прайс пром.'!N22</f>
        <v>2491</v>
      </c>
      <c r="J32" s="288">
        <f t="shared" si="1"/>
        <v>2865</v>
      </c>
      <c r="K32" s="288">
        <f t="shared" si="2"/>
        <v>3239</v>
      </c>
    </row>
    <row r="33" spans="1:12" ht="27.75" customHeight="1">
      <c r="A33" s="893"/>
      <c r="B33" s="929"/>
      <c r="C33" s="932"/>
      <c r="D33" s="932"/>
      <c r="E33" s="932"/>
      <c r="F33" s="292">
        <v>43</v>
      </c>
      <c r="G33" s="285" t="s">
        <v>235</v>
      </c>
      <c r="H33" s="286">
        <f t="shared" si="0"/>
        <v>110.86</v>
      </c>
      <c r="I33" s="287">
        <f>'[1]Прайс пром.'!N23</f>
        <v>4767</v>
      </c>
      <c r="J33" s="288">
        <f t="shared" si="1"/>
        <v>5483</v>
      </c>
      <c r="K33" s="288">
        <f t="shared" si="2"/>
        <v>6198</v>
      </c>
    </row>
    <row r="34" spans="1:12" ht="15" hidden="1">
      <c r="A34" s="866">
        <v>8</v>
      </c>
      <c r="B34" s="868" t="s">
        <v>268</v>
      </c>
      <c r="C34" s="926" t="s">
        <v>15</v>
      </c>
      <c r="D34" s="926" t="s">
        <v>193</v>
      </c>
      <c r="E34" s="926" t="s">
        <v>15</v>
      </c>
      <c r="F34" s="293">
        <v>9.5</v>
      </c>
      <c r="G34" s="294" t="s">
        <v>233</v>
      </c>
      <c r="H34" s="295">
        <f t="shared" si="0"/>
        <v>133.47</v>
      </c>
      <c r="I34" s="287">
        <f>'[1]Прайс пром.'!N24</f>
        <v>1268</v>
      </c>
      <c r="J34" s="296">
        <f t="shared" si="1"/>
        <v>1459</v>
      </c>
      <c r="K34" s="296">
        <f t="shared" si="2"/>
        <v>1649</v>
      </c>
    </row>
    <row r="35" spans="1:12" ht="24.75" customHeight="1">
      <c r="A35" s="921"/>
      <c r="B35" s="922"/>
      <c r="C35" s="924"/>
      <c r="D35" s="924"/>
      <c r="E35" s="924"/>
      <c r="F35" s="297">
        <v>21</v>
      </c>
      <c r="G35" s="294" t="s">
        <v>234</v>
      </c>
      <c r="H35" s="295">
        <f t="shared" si="0"/>
        <v>124.71</v>
      </c>
      <c r="I35" s="287">
        <f>'[1]Прайс пром.'!N25</f>
        <v>2619</v>
      </c>
      <c r="J35" s="296">
        <f t="shared" si="1"/>
        <v>3012</v>
      </c>
      <c r="K35" s="296">
        <f t="shared" si="2"/>
        <v>3405</v>
      </c>
    </row>
    <row r="36" spans="1:12" ht="36.75" customHeight="1">
      <c r="A36" s="867"/>
      <c r="B36" s="869"/>
      <c r="C36" s="925"/>
      <c r="D36" s="925"/>
      <c r="E36" s="925"/>
      <c r="F36" s="299">
        <v>43</v>
      </c>
      <c r="G36" s="294" t="s">
        <v>235</v>
      </c>
      <c r="H36" s="295">
        <f t="shared" si="0"/>
        <v>116.53</v>
      </c>
      <c r="I36" s="287">
        <f>'[1]Прайс пром.'!N26</f>
        <v>5011</v>
      </c>
      <c r="J36" s="296">
        <f t="shared" si="1"/>
        <v>5763</v>
      </c>
      <c r="K36" s="296">
        <f>ROUNDUP(I36*1.3,0)</f>
        <v>6515</v>
      </c>
    </row>
    <row r="37" spans="1:12" ht="21" customHeight="1">
      <c r="A37" s="891">
        <v>9</v>
      </c>
      <c r="B37" s="927" t="s">
        <v>274</v>
      </c>
      <c r="C37" s="933" t="s">
        <v>15</v>
      </c>
      <c r="D37" s="933" t="s">
        <v>193</v>
      </c>
      <c r="E37" s="933" t="s">
        <v>15</v>
      </c>
      <c r="F37" s="284">
        <v>21</v>
      </c>
      <c r="G37" s="285" t="s">
        <v>161</v>
      </c>
      <c r="H37" s="286">
        <f t="shared" si="0"/>
        <v>118.62</v>
      </c>
      <c r="I37" s="287">
        <f>'[1]Прайс пром.'!N27</f>
        <v>2491</v>
      </c>
      <c r="J37" s="288">
        <f t="shared" si="1"/>
        <v>2865</v>
      </c>
      <c r="K37" s="288">
        <f>ROUNDUP(I37*1.3,0)</f>
        <v>3239</v>
      </c>
    </row>
    <row r="38" spans="1:12" ht="27.75" customHeight="1">
      <c r="A38" s="893"/>
      <c r="B38" s="929"/>
      <c r="C38" s="932"/>
      <c r="D38" s="932"/>
      <c r="E38" s="932"/>
      <c r="F38" s="292">
        <v>43</v>
      </c>
      <c r="G38" s="285" t="s">
        <v>236</v>
      </c>
      <c r="H38" s="286">
        <f t="shared" si="0"/>
        <v>110.86</v>
      </c>
      <c r="I38" s="287">
        <f>'[1]Прайс пром.'!N28</f>
        <v>4767</v>
      </c>
      <c r="J38" s="288">
        <f t="shared" si="1"/>
        <v>5483</v>
      </c>
      <c r="K38" s="288">
        <f>ROUNDUP(I38*1.3,0)</f>
        <v>6198</v>
      </c>
    </row>
    <row r="39" spans="1:12" ht="15" hidden="1">
      <c r="A39" s="866">
        <v>10</v>
      </c>
      <c r="B39" s="868" t="s">
        <v>269</v>
      </c>
      <c r="C39" s="926" t="s">
        <v>15</v>
      </c>
      <c r="D39" s="926" t="s">
        <v>237</v>
      </c>
      <c r="E39" s="926" t="s">
        <v>15</v>
      </c>
      <c r="F39" s="293">
        <v>9.5</v>
      </c>
      <c r="G39" s="294" t="s">
        <v>233</v>
      </c>
      <c r="H39" s="295">
        <f t="shared" si="0"/>
        <v>126.95</v>
      </c>
      <c r="I39" s="287">
        <v>1206</v>
      </c>
      <c r="J39" s="296">
        <f t="shared" si="1"/>
        <v>1387</v>
      </c>
      <c r="K39" s="296">
        <f t="shared" ref="K39:K57" si="3">ROUNDUP(I39*1.3,0)</f>
        <v>1568</v>
      </c>
    </row>
    <row r="40" spans="1:12" ht="23.25" customHeight="1">
      <c r="A40" s="921"/>
      <c r="B40" s="922"/>
      <c r="C40" s="924"/>
      <c r="D40" s="924"/>
      <c r="E40" s="924"/>
      <c r="F40" s="297">
        <v>21</v>
      </c>
      <c r="G40" s="294" t="s">
        <v>161</v>
      </c>
      <c r="H40" s="295">
        <f t="shared" si="0"/>
        <v>118.62</v>
      </c>
      <c r="I40" s="287">
        <v>2491</v>
      </c>
      <c r="J40" s="296">
        <f t="shared" si="1"/>
        <v>2865</v>
      </c>
      <c r="K40" s="296">
        <f t="shared" si="3"/>
        <v>3239</v>
      </c>
    </row>
    <row r="41" spans="1:12" ht="24" customHeight="1">
      <c r="A41" s="867"/>
      <c r="B41" s="869"/>
      <c r="C41" s="925"/>
      <c r="D41" s="925"/>
      <c r="E41" s="925"/>
      <c r="F41" s="299">
        <v>43</v>
      </c>
      <c r="G41" s="294" t="s">
        <v>236</v>
      </c>
      <c r="H41" s="295">
        <f t="shared" si="0"/>
        <v>110.86</v>
      </c>
      <c r="I41" s="287">
        <v>4767</v>
      </c>
      <c r="J41" s="296">
        <f t="shared" si="1"/>
        <v>5483</v>
      </c>
      <c r="K41" s="296">
        <f t="shared" si="3"/>
        <v>6198</v>
      </c>
    </row>
    <row r="42" spans="1:12" ht="45" customHeight="1">
      <c r="A42" s="300">
        <v>11</v>
      </c>
      <c r="B42" s="301" t="s">
        <v>238</v>
      </c>
      <c r="C42" s="302" t="s">
        <v>15</v>
      </c>
      <c r="D42" s="302" t="s">
        <v>239</v>
      </c>
      <c r="E42" s="302" t="s">
        <v>15</v>
      </c>
      <c r="F42" s="285">
        <v>40</v>
      </c>
      <c r="G42" s="285" t="s">
        <v>240</v>
      </c>
      <c r="H42" s="286">
        <f t="shared" si="0"/>
        <v>299</v>
      </c>
      <c r="I42" s="287">
        <v>11960</v>
      </c>
      <c r="J42" s="288">
        <f t="shared" si="1"/>
        <v>13754</v>
      </c>
      <c r="K42" s="288">
        <f t="shared" si="3"/>
        <v>15548</v>
      </c>
      <c r="L42" s="11"/>
    </row>
    <row r="43" spans="1:12" ht="41.25" customHeight="1">
      <c r="A43" s="307">
        <v>12</v>
      </c>
      <c r="B43" s="308" t="s">
        <v>241</v>
      </c>
      <c r="C43" s="303" t="s">
        <v>15</v>
      </c>
      <c r="D43" s="303" t="s">
        <v>242</v>
      </c>
      <c r="E43" s="303" t="s">
        <v>15</v>
      </c>
      <c r="F43" s="294">
        <v>6.6</v>
      </c>
      <c r="G43" s="294" t="s">
        <v>243</v>
      </c>
      <c r="H43" s="295">
        <f t="shared" si="0"/>
        <v>60</v>
      </c>
      <c r="I43" s="287">
        <v>396</v>
      </c>
      <c r="J43" s="296">
        <f>ROUNDUP(I43*1.15,0)</f>
        <v>456</v>
      </c>
      <c r="K43" s="296">
        <f t="shared" si="3"/>
        <v>515</v>
      </c>
    </row>
    <row r="44" spans="1:12" ht="21.75" customHeight="1">
      <c r="A44" s="903" t="s">
        <v>244</v>
      </c>
      <c r="B44" s="904"/>
      <c r="C44" s="904"/>
      <c r="D44" s="904"/>
      <c r="E44" s="904"/>
      <c r="F44" s="904"/>
      <c r="G44" s="904"/>
      <c r="H44" s="904"/>
      <c r="I44" s="904"/>
      <c r="J44" s="904"/>
      <c r="K44" s="905"/>
    </row>
    <row r="45" spans="1:12" ht="15">
      <c r="A45" s="891">
        <v>13</v>
      </c>
      <c r="B45" s="927" t="s">
        <v>245</v>
      </c>
      <c r="C45" s="930">
        <v>120</v>
      </c>
      <c r="D45" s="933" t="s">
        <v>15</v>
      </c>
      <c r="E45" s="933" t="s">
        <v>15</v>
      </c>
      <c r="F45" s="284">
        <v>43</v>
      </c>
      <c r="G45" s="285" t="s">
        <v>236</v>
      </c>
      <c r="H45" s="286">
        <f t="shared" si="0"/>
        <v>84.23</v>
      </c>
      <c r="I45" s="287">
        <f>'[1]прайс пром.2'!N7</f>
        <v>3622</v>
      </c>
      <c r="J45" s="288">
        <f t="shared" si="1"/>
        <v>4166</v>
      </c>
      <c r="K45" s="288">
        <f t="shared" si="3"/>
        <v>4709</v>
      </c>
    </row>
    <row r="46" spans="1:12" ht="24.75" customHeight="1">
      <c r="A46" s="892"/>
      <c r="B46" s="928"/>
      <c r="C46" s="931"/>
      <c r="D46" s="931"/>
      <c r="E46" s="931"/>
      <c r="F46" s="289">
        <v>21</v>
      </c>
      <c r="G46" s="290" t="s">
        <v>161</v>
      </c>
      <c r="H46" s="286">
        <f t="shared" si="0"/>
        <v>90.14</v>
      </c>
      <c r="I46" s="291">
        <v>1893</v>
      </c>
      <c r="J46" s="288">
        <f t="shared" si="1"/>
        <v>2177</v>
      </c>
      <c r="K46" s="288">
        <f t="shared" si="3"/>
        <v>2461</v>
      </c>
    </row>
    <row r="47" spans="1:12" ht="21.75" customHeight="1">
      <c r="A47" s="892"/>
      <c r="B47" s="928"/>
      <c r="C47" s="931"/>
      <c r="D47" s="931"/>
      <c r="E47" s="931"/>
      <c r="F47" s="289">
        <v>2.7</v>
      </c>
      <c r="G47" s="309" t="s">
        <v>139</v>
      </c>
      <c r="H47" s="286">
        <f t="shared" si="0"/>
        <v>103.33</v>
      </c>
      <c r="I47" s="291">
        <v>279</v>
      </c>
      <c r="J47" s="288">
        <f t="shared" si="1"/>
        <v>321</v>
      </c>
      <c r="K47" s="288">
        <f t="shared" si="3"/>
        <v>363</v>
      </c>
    </row>
    <row r="48" spans="1:12" ht="24.75" customHeight="1">
      <c r="A48" s="893"/>
      <c r="B48" s="929"/>
      <c r="C48" s="932"/>
      <c r="D48" s="932"/>
      <c r="E48" s="932"/>
      <c r="F48" s="292">
        <v>0.95</v>
      </c>
      <c r="G48" s="309" t="s">
        <v>140</v>
      </c>
      <c r="H48" s="286">
        <f t="shared" si="0"/>
        <v>110.53</v>
      </c>
      <c r="I48" s="291">
        <v>105</v>
      </c>
      <c r="J48" s="288">
        <f t="shared" si="1"/>
        <v>121</v>
      </c>
      <c r="K48" s="288">
        <f t="shared" si="3"/>
        <v>137</v>
      </c>
    </row>
    <row r="49" spans="1:11" ht="15">
      <c r="A49" s="866">
        <v>14</v>
      </c>
      <c r="B49" s="868" t="s">
        <v>246</v>
      </c>
      <c r="C49" s="923">
        <v>80</v>
      </c>
      <c r="D49" s="926" t="s">
        <v>15</v>
      </c>
      <c r="E49" s="926" t="s">
        <v>15</v>
      </c>
      <c r="F49" s="293">
        <v>40</v>
      </c>
      <c r="G49" s="294" t="s">
        <v>240</v>
      </c>
      <c r="H49" s="295">
        <f t="shared" si="0"/>
        <v>146.05000000000001</v>
      </c>
      <c r="I49" s="287">
        <f>'[1]прайс пром.2'!N8</f>
        <v>5842</v>
      </c>
      <c r="J49" s="296">
        <f t="shared" si="1"/>
        <v>6719</v>
      </c>
      <c r="K49" s="296">
        <f t="shared" si="3"/>
        <v>7595</v>
      </c>
    </row>
    <row r="50" spans="1:11" ht="15">
      <c r="A50" s="921"/>
      <c r="B50" s="922"/>
      <c r="C50" s="924"/>
      <c r="D50" s="924"/>
      <c r="E50" s="924"/>
      <c r="F50" s="297">
        <v>20</v>
      </c>
      <c r="G50" s="298" t="s">
        <v>162</v>
      </c>
      <c r="H50" s="295">
        <f t="shared" si="0"/>
        <v>156.30000000000001</v>
      </c>
      <c r="I50" s="291">
        <v>3126</v>
      </c>
      <c r="J50" s="296">
        <f t="shared" si="1"/>
        <v>3595</v>
      </c>
      <c r="K50" s="296">
        <f t="shared" si="3"/>
        <v>4064</v>
      </c>
    </row>
    <row r="51" spans="1:11" ht="15">
      <c r="A51" s="921"/>
      <c r="B51" s="922"/>
      <c r="C51" s="924"/>
      <c r="D51" s="924"/>
      <c r="E51" s="924"/>
      <c r="F51" s="297">
        <v>2.6</v>
      </c>
      <c r="G51" s="310" t="s">
        <v>128</v>
      </c>
      <c r="H51" s="295">
        <f t="shared" si="0"/>
        <v>179.23</v>
      </c>
      <c r="I51" s="291">
        <v>466</v>
      </c>
      <c r="J51" s="296">
        <f t="shared" si="1"/>
        <v>536</v>
      </c>
      <c r="K51" s="296">
        <f t="shared" si="3"/>
        <v>606</v>
      </c>
    </row>
    <row r="52" spans="1:11" ht="15">
      <c r="A52" s="867"/>
      <c r="B52" s="869"/>
      <c r="C52" s="925"/>
      <c r="D52" s="925"/>
      <c r="E52" s="925"/>
      <c r="F52" s="299">
        <v>0.9</v>
      </c>
      <c r="G52" s="298" t="s">
        <v>129</v>
      </c>
      <c r="H52" s="295">
        <f t="shared" si="0"/>
        <v>192.22</v>
      </c>
      <c r="I52" s="291">
        <v>173</v>
      </c>
      <c r="J52" s="296">
        <f t="shared" si="1"/>
        <v>199</v>
      </c>
      <c r="K52" s="296">
        <f t="shared" si="3"/>
        <v>225</v>
      </c>
    </row>
    <row r="53" spans="1:11" ht="19.5" customHeight="1">
      <c r="A53" s="891">
        <v>15</v>
      </c>
      <c r="B53" s="927" t="s">
        <v>277</v>
      </c>
      <c r="C53" s="930">
        <v>80</v>
      </c>
      <c r="D53" s="933" t="s">
        <v>15</v>
      </c>
      <c r="E53" s="933" t="s">
        <v>15</v>
      </c>
      <c r="F53" s="284">
        <v>40</v>
      </c>
      <c r="G53" s="285" t="s">
        <v>240</v>
      </c>
      <c r="H53" s="286">
        <f t="shared" si="0"/>
        <v>146.05000000000001</v>
      </c>
      <c r="I53" s="287">
        <f>I49</f>
        <v>5842</v>
      </c>
      <c r="J53" s="288">
        <f t="shared" si="1"/>
        <v>6719</v>
      </c>
      <c r="K53" s="288">
        <f t="shared" si="3"/>
        <v>7595</v>
      </c>
    </row>
    <row r="54" spans="1:11" ht="19.5" customHeight="1">
      <c r="A54" s="892"/>
      <c r="B54" s="928"/>
      <c r="C54" s="931"/>
      <c r="D54" s="931"/>
      <c r="E54" s="931"/>
      <c r="F54" s="289">
        <v>20</v>
      </c>
      <c r="G54" s="290" t="s">
        <v>162</v>
      </c>
      <c r="H54" s="286">
        <f t="shared" si="0"/>
        <v>156.30000000000001</v>
      </c>
      <c r="I54" s="291">
        <v>3126</v>
      </c>
      <c r="J54" s="288">
        <f t="shared" si="1"/>
        <v>3595</v>
      </c>
      <c r="K54" s="288">
        <f t="shared" si="3"/>
        <v>4064</v>
      </c>
    </row>
    <row r="55" spans="1:11" ht="19.5" customHeight="1">
      <c r="A55" s="892"/>
      <c r="B55" s="928"/>
      <c r="C55" s="931"/>
      <c r="D55" s="931"/>
      <c r="E55" s="931"/>
      <c r="F55" s="289">
        <v>2.6</v>
      </c>
      <c r="G55" s="309" t="s">
        <v>128</v>
      </c>
      <c r="H55" s="286">
        <f t="shared" si="0"/>
        <v>179.23</v>
      </c>
      <c r="I55" s="291">
        <v>466</v>
      </c>
      <c r="J55" s="288">
        <f t="shared" si="1"/>
        <v>536</v>
      </c>
      <c r="K55" s="288">
        <f t="shared" si="3"/>
        <v>606</v>
      </c>
    </row>
    <row r="56" spans="1:11" ht="19.5" customHeight="1">
      <c r="A56" s="893"/>
      <c r="B56" s="929"/>
      <c r="C56" s="932"/>
      <c r="D56" s="932"/>
      <c r="E56" s="932"/>
      <c r="F56" s="292">
        <v>0.9</v>
      </c>
      <c r="G56" s="290" t="s">
        <v>129</v>
      </c>
      <c r="H56" s="286">
        <f t="shared" si="0"/>
        <v>192.22</v>
      </c>
      <c r="I56" s="291">
        <v>173</v>
      </c>
      <c r="J56" s="288">
        <f t="shared" si="1"/>
        <v>199</v>
      </c>
      <c r="K56" s="288">
        <f t="shared" si="3"/>
        <v>225</v>
      </c>
    </row>
    <row r="57" spans="1:11" ht="83.25" customHeight="1">
      <c r="A57" s="307">
        <v>16</v>
      </c>
      <c r="B57" s="319" t="s">
        <v>304</v>
      </c>
      <c r="C57" s="314" t="s">
        <v>283</v>
      </c>
      <c r="D57" s="303" t="s">
        <v>15</v>
      </c>
      <c r="E57" s="303" t="s">
        <v>15</v>
      </c>
      <c r="F57" s="294">
        <v>90</v>
      </c>
      <c r="G57" s="314" t="s">
        <v>280</v>
      </c>
      <c r="H57" s="295">
        <f t="shared" si="0"/>
        <v>105</v>
      </c>
      <c r="I57" s="287">
        <f>'[1]прайс пром.2'!N11</f>
        <v>9450</v>
      </c>
      <c r="J57" s="296">
        <f t="shared" si="1"/>
        <v>10868</v>
      </c>
      <c r="K57" s="296">
        <f t="shared" si="3"/>
        <v>12285</v>
      </c>
    </row>
    <row r="58" spans="1:11" ht="21" customHeight="1">
      <c r="A58" s="903" t="s">
        <v>247</v>
      </c>
      <c r="B58" s="904"/>
      <c r="C58" s="904"/>
      <c r="D58" s="904"/>
      <c r="E58" s="904"/>
      <c r="F58" s="904"/>
      <c r="G58" s="904"/>
      <c r="H58" s="904"/>
      <c r="I58" s="904"/>
      <c r="J58" s="904"/>
      <c r="K58" s="905"/>
    </row>
    <row r="59" spans="1:11" ht="15" customHeight="1">
      <c r="A59" s="891">
        <v>17</v>
      </c>
      <c r="B59" s="894" t="s">
        <v>249</v>
      </c>
      <c r="C59" s="888" t="s">
        <v>282</v>
      </c>
      <c r="D59" s="889"/>
      <c r="E59" s="890"/>
      <c r="F59" s="284"/>
      <c r="G59" s="906" t="s">
        <v>138</v>
      </c>
      <c r="H59" s="908">
        <f>I59/F60</f>
        <v>112.82</v>
      </c>
      <c r="I59" s="910">
        <v>1241</v>
      </c>
      <c r="J59" s="912">
        <f>ROUND(I59*1.15,0)</f>
        <v>1427</v>
      </c>
      <c r="K59" s="912">
        <f>ROUND(I59*1.3,0)</f>
        <v>1613</v>
      </c>
    </row>
    <row r="60" spans="1:11" ht="27" customHeight="1">
      <c r="A60" s="892"/>
      <c r="B60" s="895"/>
      <c r="C60" s="882" t="s">
        <v>281</v>
      </c>
      <c r="D60" s="883"/>
      <c r="E60" s="884"/>
      <c r="F60" s="284">
        <v>11</v>
      </c>
      <c r="G60" s="907"/>
      <c r="H60" s="909"/>
      <c r="I60" s="911"/>
      <c r="J60" s="913"/>
      <c r="K60" s="913"/>
    </row>
    <row r="61" spans="1:11" ht="27" customHeight="1">
      <c r="A61" s="892"/>
      <c r="B61" s="895"/>
      <c r="C61" s="914"/>
      <c r="D61" s="915"/>
      <c r="E61" s="916"/>
      <c r="F61" s="289">
        <v>3.3</v>
      </c>
      <c r="G61" s="290" t="s">
        <v>137</v>
      </c>
      <c r="H61" s="286">
        <f t="shared" si="0"/>
        <v>123.94</v>
      </c>
      <c r="I61" s="291">
        <v>409</v>
      </c>
      <c r="J61" s="288">
        <f t="shared" ref="J61:J70" si="4">ROUNDUP(I61*1.15,0)</f>
        <v>471</v>
      </c>
      <c r="K61" s="288">
        <f t="shared" ref="K61:K70" si="5">ROUNDUP(I61*1.3,0)</f>
        <v>532</v>
      </c>
    </row>
    <row r="62" spans="1:11" ht="27" customHeight="1">
      <c r="A62" s="893"/>
      <c r="B62" s="896"/>
      <c r="C62" s="885"/>
      <c r="D62" s="886"/>
      <c r="E62" s="887"/>
      <c r="F62" s="292">
        <v>0.95</v>
      </c>
      <c r="G62" s="290" t="s">
        <v>136</v>
      </c>
      <c r="H62" s="286">
        <f t="shared" si="0"/>
        <v>132.63</v>
      </c>
      <c r="I62" s="291">
        <v>126</v>
      </c>
      <c r="J62" s="288">
        <f t="shared" si="4"/>
        <v>145</v>
      </c>
      <c r="K62" s="288">
        <f t="shared" si="5"/>
        <v>164</v>
      </c>
    </row>
    <row r="63" spans="1:11" ht="76.5" customHeight="1">
      <c r="A63" s="866">
        <v>18</v>
      </c>
      <c r="B63" s="868" t="s">
        <v>250</v>
      </c>
      <c r="C63" s="876" t="s">
        <v>145</v>
      </c>
      <c r="D63" s="877"/>
      <c r="E63" s="878"/>
      <c r="F63" s="293">
        <v>2.7</v>
      </c>
      <c r="G63" s="298" t="s">
        <v>142</v>
      </c>
      <c r="H63" s="295">
        <f t="shared" si="0"/>
        <v>127.04</v>
      </c>
      <c r="I63" s="291">
        <v>343</v>
      </c>
      <c r="J63" s="296">
        <f t="shared" si="4"/>
        <v>395</v>
      </c>
      <c r="K63" s="296">
        <f t="shared" si="5"/>
        <v>446</v>
      </c>
    </row>
    <row r="64" spans="1:11" ht="24" customHeight="1">
      <c r="A64" s="867"/>
      <c r="B64" s="869"/>
      <c r="C64" s="879"/>
      <c r="D64" s="880"/>
      <c r="E64" s="881"/>
      <c r="F64" s="299">
        <v>0.9</v>
      </c>
      <c r="G64" s="298" t="s">
        <v>141</v>
      </c>
      <c r="H64" s="295">
        <f t="shared" si="0"/>
        <v>140</v>
      </c>
      <c r="I64" s="291">
        <v>126</v>
      </c>
      <c r="J64" s="296">
        <f t="shared" si="4"/>
        <v>145</v>
      </c>
      <c r="K64" s="296">
        <f t="shared" si="5"/>
        <v>164</v>
      </c>
    </row>
    <row r="65" spans="1:11" ht="21.75" customHeight="1">
      <c r="A65" s="891">
        <v>19</v>
      </c>
      <c r="B65" s="894" t="s">
        <v>307</v>
      </c>
      <c r="C65" s="888" t="s">
        <v>218</v>
      </c>
      <c r="D65" s="889"/>
      <c r="E65" s="889"/>
      <c r="F65" s="890"/>
      <c r="G65" s="906" t="s">
        <v>131</v>
      </c>
      <c r="H65" s="908">
        <f>I65/F66</f>
        <v>40.67</v>
      </c>
      <c r="I65" s="917">
        <v>427</v>
      </c>
      <c r="J65" s="919">
        <f>ROUNDUP(I65*1.15,0)</f>
        <v>492</v>
      </c>
      <c r="K65" s="919">
        <f>ROUNDUP(I65*1.3,0)</f>
        <v>556</v>
      </c>
    </row>
    <row r="66" spans="1:11" ht="51" customHeight="1">
      <c r="A66" s="892"/>
      <c r="B66" s="895"/>
      <c r="C66" s="882" t="s">
        <v>116</v>
      </c>
      <c r="D66" s="883"/>
      <c r="E66" s="884"/>
      <c r="F66" s="284">
        <v>10.5</v>
      </c>
      <c r="G66" s="907"/>
      <c r="H66" s="909"/>
      <c r="I66" s="918"/>
      <c r="J66" s="920"/>
      <c r="K66" s="920"/>
    </row>
    <row r="67" spans="1:11" ht="15">
      <c r="A67" s="893"/>
      <c r="B67" s="896"/>
      <c r="C67" s="885"/>
      <c r="D67" s="886"/>
      <c r="E67" s="887"/>
      <c r="F67" s="292">
        <v>3.3</v>
      </c>
      <c r="G67" s="290" t="s">
        <v>130</v>
      </c>
      <c r="H67" s="286">
        <f t="shared" si="0"/>
        <v>43.64</v>
      </c>
      <c r="I67" s="291">
        <v>144</v>
      </c>
      <c r="J67" s="288">
        <f t="shared" si="4"/>
        <v>166</v>
      </c>
      <c r="K67" s="288">
        <f t="shared" si="5"/>
        <v>188</v>
      </c>
    </row>
    <row r="68" spans="1:11" ht="61.5" customHeight="1">
      <c r="A68" s="866">
        <v>20</v>
      </c>
      <c r="B68" s="868" t="s">
        <v>248</v>
      </c>
      <c r="C68" s="870">
        <v>120</v>
      </c>
      <c r="D68" s="871"/>
      <c r="E68" s="872"/>
      <c r="F68" s="293">
        <v>15</v>
      </c>
      <c r="G68" s="298" t="s">
        <v>133</v>
      </c>
      <c r="H68" s="295">
        <f t="shared" si="0"/>
        <v>79</v>
      </c>
      <c r="I68" s="291">
        <v>1185</v>
      </c>
      <c r="J68" s="296">
        <f t="shared" si="4"/>
        <v>1363</v>
      </c>
      <c r="K68" s="296">
        <f t="shared" si="5"/>
        <v>1541</v>
      </c>
    </row>
    <row r="69" spans="1:11" ht="37.5" customHeight="1">
      <c r="A69" s="867"/>
      <c r="B69" s="869"/>
      <c r="C69" s="873"/>
      <c r="D69" s="874"/>
      <c r="E69" s="875"/>
      <c r="F69" s="299">
        <v>4.5</v>
      </c>
      <c r="G69" s="298" t="s">
        <v>132</v>
      </c>
      <c r="H69" s="295">
        <f t="shared" si="0"/>
        <v>84.67</v>
      </c>
      <c r="I69" s="291">
        <v>381</v>
      </c>
      <c r="J69" s="296">
        <f t="shared" si="4"/>
        <v>439</v>
      </c>
      <c r="K69" s="296">
        <f t="shared" si="5"/>
        <v>496</v>
      </c>
    </row>
    <row r="70" spans="1:11" ht="72" customHeight="1">
      <c r="A70" s="323">
        <v>21</v>
      </c>
      <c r="B70" s="894" t="s">
        <v>322</v>
      </c>
      <c r="C70" s="897">
        <v>120</v>
      </c>
      <c r="D70" s="898"/>
      <c r="E70" s="899"/>
      <c r="F70" s="285">
        <v>11</v>
      </c>
      <c r="G70" s="290" t="s">
        <v>135</v>
      </c>
      <c r="H70" s="286">
        <f>I70/F70</f>
        <v>106.45</v>
      </c>
      <c r="I70" s="291">
        <v>1171</v>
      </c>
      <c r="J70" s="288">
        <f t="shared" si="4"/>
        <v>1347</v>
      </c>
      <c r="K70" s="288">
        <f t="shared" si="5"/>
        <v>1523</v>
      </c>
    </row>
    <row r="71" spans="1:11" ht="21" customHeight="1">
      <c r="A71" s="324"/>
      <c r="B71" s="896"/>
      <c r="C71" s="900"/>
      <c r="D71" s="901"/>
      <c r="E71" s="902"/>
      <c r="F71" s="322">
        <v>3.4</v>
      </c>
      <c r="G71" s="320" t="s">
        <v>134</v>
      </c>
      <c r="H71" s="321">
        <f>I71/F71</f>
        <v>114.12</v>
      </c>
      <c r="I71" s="291">
        <v>388</v>
      </c>
      <c r="J71" s="288">
        <f>ROUNDUP(I71*1.15,0)</f>
        <v>447</v>
      </c>
      <c r="K71" s="288">
        <f t="shared" ref="K71" si="6">ROUNDUP(I71*1.3,0)</f>
        <v>505</v>
      </c>
    </row>
  </sheetData>
  <mergeCells count="99">
    <mergeCell ref="K65:K66"/>
    <mergeCell ref="A2:K2"/>
    <mergeCell ref="C1:H1"/>
    <mergeCell ref="A3:A4"/>
    <mergeCell ref="B3:B4"/>
    <mergeCell ref="C3:E3"/>
    <mergeCell ref="G3:G4"/>
    <mergeCell ref="H3:H4"/>
    <mergeCell ref="I3:I4"/>
    <mergeCell ref="J3:J4"/>
    <mergeCell ref="K3:K4"/>
    <mergeCell ref="A5:K5"/>
    <mergeCell ref="A6:A10"/>
    <mergeCell ref="B6:B10"/>
    <mergeCell ref="C6:C10"/>
    <mergeCell ref="D6:D10"/>
    <mergeCell ref="E6:E10"/>
    <mergeCell ref="A16:A20"/>
    <mergeCell ref="B16:B20"/>
    <mergeCell ref="C16:C20"/>
    <mergeCell ref="D16:D20"/>
    <mergeCell ref="E16:E20"/>
    <mergeCell ref="A11:A15"/>
    <mergeCell ref="B11:B15"/>
    <mergeCell ref="C11:C15"/>
    <mergeCell ref="D11:D15"/>
    <mergeCell ref="E11:E15"/>
    <mergeCell ref="A27:A30"/>
    <mergeCell ref="B27:B30"/>
    <mergeCell ref="C27:C30"/>
    <mergeCell ref="E27:E30"/>
    <mergeCell ref="D28:D30"/>
    <mergeCell ref="A21:A25"/>
    <mergeCell ref="B21:B25"/>
    <mergeCell ref="C21:C25"/>
    <mergeCell ref="D21:D25"/>
    <mergeCell ref="E21:E25"/>
    <mergeCell ref="A34:A36"/>
    <mergeCell ref="B34:B36"/>
    <mergeCell ref="C34:C36"/>
    <mergeCell ref="D34:D36"/>
    <mergeCell ref="E34:E36"/>
    <mergeCell ref="A31:A33"/>
    <mergeCell ref="B31:B33"/>
    <mergeCell ref="C31:C33"/>
    <mergeCell ref="D31:D33"/>
    <mergeCell ref="E31:E33"/>
    <mergeCell ref="A39:A41"/>
    <mergeCell ref="B39:B41"/>
    <mergeCell ref="C39:C41"/>
    <mergeCell ref="D39:D41"/>
    <mergeCell ref="E39:E41"/>
    <mergeCell ref="A37:A38"/>
    <mergeCell ref="B37:B38"/>
    <mergeCell ref="C37:C38"/>
    <mergeCell ref="D37:D38"/>
    <mergeCell ref="E37:E38"/>
    <mergeCell ref="A44:K44"/>
    <mergeCell ref="A45:A48"/>
    <mergeCell ref="B45:B48"/>
    <mergeCell ref="C45:C48"/>
    <mergeCell ref="D45:D48"/>
    <mergeCell ref="E45:E48"/>
    <mergeCell ref="A53:A56"/>
    <mergeCell ref="B53:B56"/>
    <mergeCell ref="C53:C56"/>
    <mergeCell ref="D53:D56"/>
    <mergeCell ref="E53:E56"/>
    <mergeCell ref="A49:A52"/>
    <mergeCell ref="B49:B52"/>
    <mergeCell ref="C49:C52"/>
    <mergeCell ref="D49:D52"/>
    <mergeCell ref="E49:E52"/>
    <mergeCell ref="B70:B71"/>
    <mergeCell ref="C70:E71"/>
    <mergeCell ref="A58:K58"/>
    <mergeCell ref="A59:A62"/>
    <mergeCell ref="B59:B62"/>
    <mergeCell ref="C59:E59"/>
    <mergeCell ref="G59:G60"/>
    <mergeCell ref="H59:H60"/>
    <mergeCell ref="I59:I60"/>
    <mergeCell ref="J59:J60"/>
    <mergeCell ref="K59:K60"/>
    <mergeCell ref="C60:E62"/>
    <mergeCell ref="G65:G66"/>
    <mergeCell ref="H65:H66"/>
    <mergeCell ref="I65:I66"/>
    <mergeCell ref="J65:J66"/>
    <mergeCell ref="A68:A69"/>
    <mergeCell ref="B68:B69"/>
    <mergeCell ref="C68:E69"/>
    <mergeCell ref="A63:A64"/>
    <mergeCell ref="B63:B64"/>
    <mergeCell ref="C63:E64"/>
    <mergeCell ref="C66:E67"/>
    <mergeCell ref="C65:F65"/>
    <mergeCell ref="A65:A67"/>
    <mergeCell ref="B65:B67"/>
  </mergeCells>
  <pageMargins left="0.7" right="0.7" top="0.75" bottom="0.75" header="0.3" footer="0.3"/>
  <pageSetup paperSize="9" scale="4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AA52"/>
  <sheetViews>
    <sheetView showZeros="0" view="pageBreakPreview" topLeftCell="A10" zoomScale="40" zoomScaleNormal="50" zoomScaleSheetLayoutView="40" workbookViewId="0">
      <selection activeCell="C41" sqref="C41"/>
    </sheetView>
  </sheetViews>
  <sheetFormatPr defaultRowHeight="12.75"/>
  <cols>
    <col min="1" max="1" width="7" customWidth="1"/>
    <col min="2" max="2" width="16.7109375" customWidth="1"/>
    <col min="3" max="3" width="154.42578125" customWidth="1"/>
    <col min="4" max="4" width="25.42578125" hidden="1" customWidth="1"/>
    <col min="5" max="5" width="29.42578125" customWidth="1"/>
    <col min="6" max="6" width="36.7109375" customWidth="1"/>
    <col min="7" max="7" width="21.7109375" customWidth="1"/>
    <col min="8" max="8" width="22.140625" customWidth="1"/>
    <col min="9" max="9" width="22.28515625" customWidth="1"/>
    <col min="10" max="10" width="22.42578125" customWidth="1"/>
    <col min="11" max="11" width="23" customWidth="1"/>
    <col min="12" max="12" width="24.28515625" customWidth="1"/>
    <col min="13" max="13" width="32.28515625" customWidth="1"/>
    <col min="14" max="14" width="35.28515625" style="68" customWidth="1"/>
    <col min="15" max="15" width="27" hidden="1" customWidth="1"/>
    <col min="16" max="16" width="9.28515625" bestFit="1" customWidth="1"/>
  </cols>
  <sheetData>
    <row r="1" spans="1:16" ht="82.5" customHeight="1">
      <c r="A1" s="131">
        <f>'Прайс пром.'!A1</f>
        <v>0</v>
      </c>
      <c r="B1" s="131"/>
      <c r="C1" s="579" t="s">
        <v>96</v>
      </c>
      <c r="D1" s="580"/>
      <c r="E1" s="580"/>
      <c r="F1" s="580"/>
      <c r="G1" s="580"/>
      <c r="H1" s="580"/>
      <c r="I1" s="580"/>
      <c r="J1" s="580"/>
      <c r="K1" s="580"/>
      <c r="L1" s="580"/>
      <c r="M1" s="131"/>
      <c r="N1" s="131"/>
    </row>
    <row r="2" spans="1:16" ht="37.5" customHeight="1">
      <c r="A2" s="1016" t="str">
        <f>'Прайс пром.'!A2</f>
        <v>Огнебиозащитные средства промышленного назначения</v>
      </c>
      <c r="B2" s="1016"/>
      <c r="C2" s="1016"/>
      <c r="D2" s="1016"/>
      <c r="E2" s="1016"/>
      <c r="F2" s="1016"/>
      <c r="G2" s="1016"/>
      <c r="H2" s="1016"/>
      <c r="I2" s="1016"/>
      <c r="J2" s="1016"/>
      <c r="K2" s="1016"/>
      <c r="L2" s="1016"/>
      <c r="M2" s="1016"/>
      <c r="N2" s="1016"/>
      <c r="O2" s="89" t="s">
        <v>65</v>
      </c>
    </row>
    <row r="3" spans="1:16" ht="27" customHeight="1" thickBot="1">
      <c r="A3" s="1023" t="str">
        <f>'прайс быт.'!B7</f>
        <v>Действует с 15.04.2014г.</v>
      </c>
      <c r="B3" s="1023"/>
      <c r="C3" s="1023"/>
      <c r="D3" s="1017" t="s">
        <v>66</v>
      </c>
      <c r="E3" s="1017"/>
      <c r="F3" s="1017"/>
      <c r="G3" s="5">
        <f>'Прайс пром.'!G3</f>
        <v>0</v>
      </c>
      <c r="H3" s="5">
        <f>'Прайс пром.'!H3</f>
        <v>0</v>
      </c>
      <c r="I3" s="5">
        <f>'Прайс пром.'!I3</f>
        <v>0</v>
      </c>
      <c r="J3" s="5">
        <f>'Прайс пром.'!J3</f>
        <v>0</v>
      </c>
      <c r="K3" s="5"/>
      <c r="L3" s="5">
        <f>'Прайс пром.'!L3</f>
        <v>0</v>
      </c>
      <c r="M3" s="5">
        <f>'Прайс пром.'!M3</f>
        <v>0</v>
      </c>
      <c r="N3" s="64">
        <f>'Прайс пром.'!N3</f>
        <v>0</v>
      </c>
      <c r="O3" s="91">
        <v>0.1</v>
      </c>
    </row>
    <row r="4" spans="1:16" ht="24" customHeight="1" thickBot="1">
      <c r="A4" s="1020" t="str">
        <f>'Прайс пром.'!A4</f>
        <v>Огнебиозащитные составы</v>
      </c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2"/>
      <c r="O4" s="88"/>
    </row>
    <row r="5" spans="1:16" s="3" customFormat="1" ht="94.5" customHeight="1" thickBot="1">
      <c r="A5" s="23" t="s">
        <v>0</v>
      </c>
      <c r="B5" s="722" t="s">
        <v>24</v>
      </c>
      <c r="C5" s="723"/>
      <c r="D5" s="15" t="str">
        <f>'Прайс пром.'!D5</f>
        <v>Цена за 1 кг без НДС, руб.</v>
      </c>
      <c r="E5" s="15" t="str">
        <f>'Прайс пром.'!E5</f>
        <v>Цена за 1 кг с НДС 18%, руб.</v>
      </c>
      <c r="F5" s="16" t="str">
        <f>'Прайс пром.'!F5</f>
        <v>Срок службы покрытия, внутренние / наружные</v>
      </c>
      <c r="G5" s="1020" t="str">
        <f>'Прайс пром.'!G5</f>
        <v xml:space="preserve">Расход, г/м2. </v>
      </c>
      <c r="H5" s="1021"/>
      <c r="I5" s="1022"/>
      <c r="J5" s="1020" t="str">
        <f>'Прайс пром.'!J5</f>
        <v>Стоимость состава для обработки
1м2, с учетом НДС, руб.</v>
      </c>
      <c r="K5" s="1021"/>
      <c r="L5" s="1022"/>
      <c r="M5" s="18" t="str">
        <f>'Прайс пром.'!M5</f>
        <v>Фасовка</v>
      </c>
      <c r="N5" s="17" t="str">
        <f>'Прайс пром.'!N5</f>
        <v>Цена расфасованной продукции (руб.), в т.ч. тара и НДС 18%</v>
      </c>
      <c r="O5" s="2"/>
    </row>
    <row r="6" spans="1:16" ht="53.25" customHeight="1" thickBot="1">
      <c r="A6" s="971" t="str">
        <f>'Прайс пром.'!A6</f>
        <v>Огнебиозащитные пропитки для древесины</v>
      </c>
      <c r="B6" s="972"/>
      <c r="C6" s="972"/>
      <c r="D6" s="972"/>
      <c r="E6" s="972"/>
      <c r="F6" s="973"/>
      <c r="G6" s="24" t="str">
        <f>'Прайс пром.'!G6</f>
        <v>Биозащита</v>
      </c>
      <c r="H6" s="14" t="str">
        <f>'Прайс пром.'!H6</f>
        <v>I / II группа
ГОСТ Р 53292</v>
      </c>
      <c r="I6" s="40" t="str">
        <f>'Прайс пром.'!I6</f>
        <v>Г1, РП1, В1, Д2, Т2 ФЗ-123 (КМ1, К0(15))</v>
      </c>
      <c r="J6" s="14" t="str">
        <f>'Прайс пром.'!J6</f>
        <v>Биозащита</v>
      </c>
      <c r="K6" s="25" t="str">
        <f>'Прайс пром.'!K6</f>
        <v>I / II группа
ГОСТ Р 53292</v>
      </c>
      <c r="L6" s="40" t="str">
        <f>'Прайс пром.'!L6</f>
        <v>Г1, РП1, В1, Д2, Т2   ФЗ-123 (КМ1)</v>
      </c>
      <c r="M6" s="12">
        <f>'Прайс пром.'!M6</f>
        <v>0</v>
      </c>
      <c r="N6" s="65">
        <f>'Прайс пром.'!N6</f>
        <v>0</v>
      </c>
      <c r="O6" s="1"/>
    </row>
    <row r="7" spans="1:16" ht="160.5" customHeight="1" thickBot="1">
      <c r="A7" s="194">
        <v>1</v>
      </c>
      <c r="B7" s="613" t="s">
        <v>257</v>
      </c>
      <c r="C7" s="952"/>
      <c r="D7" s="173"/>
      <c r="E7" s="180">
        <v>161.69999999999999</v>
      </c>
      <c r="F7" s="313" t="s">
        <v>275</v>
      </c>
      <c r="G7" s="192">
        <f>'Прайс пром.'!G7</f>
        <v>200</v>
      </c>
      <c r="H7" s="192" t="str">
        <f>'Прайс пром.'!H7</f>
        <v>200+ Krasula 150 /
200</v>
      </c>
      <c r="I7" s="192" t="s">
        <v>15</v>
      </c>
      <c r="J7" s="182">
        <f>E7*G7/1000</f>
        <v>32.340000000000003</v>
      </c>
      <c r="K7" s="181" t="s">
        <v>126</v>
      </c>
      <c r="L7" s="193" t="s">
        <v>15</v>
      </c>
      <c r="M7" s="28" t="s">
        <v>104</v>
      </c>
      <c r="N7" s="61">
        <v>7438</v>
      </c>
      <c r="O7" s="1"/>
    </row>
    <row r="8" spans="1:16" ht="171.75" customHeight="1" thickBot="1">
      <c r="A8" s="190">
        <v>2</v>
      </c>
      <c r="B8" s="611" t="s">
        <v>197</v>
      </c>
      <c r="C8" s="1013"/>
      <c r="D8" s="143">
        <f>'Прайс пром.'!D8*(O4+1)</f>
        <v>110.17</v>
      </c>
      <c r="E8" s="180">
        <v>143</v>
      </c>
      <c r="F8" s="318" t="s">
        <v>286</v>
      </c>
      <c r="G8" s="192">
        <f>'Прайс пром.'!G8</f>
        <v>100</v>
      </c>
      <c r="H8" s="192" t="str">
        <f>'Прайс пром.'!H8</f>
        <v>280 / 180</v>
      </c>
      <c r="I8" s="192">
        <f>'Прайс пром.'!I8</f>
        <v>400</v>
      </c>
      <c r="J8" s="182">
        <f>E8*G8/1000</f>
        <v>14.3</v>
      </c>
      <c r="K8" s="181" t="str">
        <f>CONCATENATE(ROUND(E8*0.28,2)," / ",ROUND(E8*0.18,2))</f>
        <v>40,04 / 25,74</v>
      </c>
      <c r="L8" s="182">
        <f>E8*I8/1000</f>
        <v>57.2</v>
      </c>
      <c r="M8" s="28" t="str">
        <f>'Прайс пром.'!M8</f>
        <v>ПЭТ бочка 50 кг</v>
      </c>
      <c r="N8" s="61">
        <v>7150</v>
      </c>
      <c r="O8" s="1"/>
    </row>
    <row r="9" spans="1:16" ht="96" customHeight="1" thickBot="1">
      <c r="A9" s="190">
        <v>3</v>
      </c>
      <c r="B9" s="611" t="s">
        <v>178</v>
      </c>
      <c r="C9" s="612"/>
      <c r="D9" s="56">
        <f>'Прайс пром.'!D9*(O4+1)</f>
        <v>128.49</v>
      </c>
      <c r="E9" s="180">
        <v>166.78</v>
      </c>
      <c r="F9" s="191" t="str">
        <f>'Прайс пром.'!F9</f>
        <v>Биозащита: 20 / 7,5 лет
Огнезащита: 16 / 5 лет</v>
      </c>
      <c r="G9" s="192">
        <f>'Прайс пром.'!G9</f>
        <v>100</v>
      </c>
      <c r="H9" s="192" t="str">
        <f>'Прайс пром.'!H9</f>
        <v>280 / 180</v>
      </c>
      <c r="I9" s="192">
        <f>'Прайс пром.'!I9</f>
        <v>400</v>
      </c>
      <c r="J9" s="182">
        <f>E9*G9/1000</f>
        <v>16.68</v>
      </c>
      <c r="K9" s="181" t="str">
        <f>CONCATENATE(ROUND(E9*0.28,2)," / ",ROUND(E9*0.18,2))</f>
        <v>46,7 / 30,02</v>
      </c>
      <c r="L9" s="182">
        <f>E9*I9/1000</f>
        <v>66.709999999999994</v>
      </c>
      <c r="M9" s="28" t="str">
        <f>'Прайс пром.'!M9</f>
        <v>ПЭТ бочка 50 кг</v>
      </c>
      <c r="N9" s="61">
        <v>8339</v>
      </c>
      <c r="O9" s="1"/>
    </row>
    <row r="10" spans="1:16" ht="53.25" customHeight="1" thickBot="1">
      <c r="A10" s="142"/>
      <c r="B10" s="1027" t="str">
        <f>'Прайс пром.'!B10</f>
        <v>Для справки: стоимость состава "Pirilax" для обработки 1м2 на I -ю группу с учетом срока службы покрытия, руб./год</v>
      </c>
      <c r="C10" s="1028"/>
      <c r="D10" s="1029"/>
      <c r="E10" s="1029"/>
      <c r="F10" s="1029"/>
      <c r="G10" s="1029"/>
      <c r="H10" s="1029"/>
      <c r="I10" s="1030"/>
      <c r="J10" s="1024" t="s">
        <v>103</v>
      </c>
      <c r="K10" s="1025"/>
      <c r="L10" s="1026"/>
      <c r="M10" s="1018">
        <f>'Прайс пром.'!M10</f>
        <v>0</v>
      </c>
      <c r="N10" s="1019"/>
      <c r="O10" s="1"/>
    </row>
    <row r="11" spans="1:16" ht="137.25" customHeight="1" thickBot="1">
      <c r="A11" s="190">
        <v>4</v>
      </c>
      <c r="B11" s="736" t="s">
        <v>179</v>
      </c>
      <c r="C11" s="737"/>
      <c r="D11" s="143">
        <f>'Прайс пром.'!D11*(O3+1)</f>
        <v>169.35</v>
      </c>
      <c r="E11" s="180">
        <v>200</v>
      </c>
      <c r="F11" s="191" t="str">
        <f>'Прайс пром.'!F11</f>
        <v>Биозащита: 25 / 10 лет
Огнезащита: 16 / 5 лет</v>
      </c>
      <c r="G11" s="192">
        <f>'Прайс пром.'!G11</f>
        <v>100</v>
      </c>
      <c r="H11" s="192" t="str">
        <f>'Прайс пром.'!H11</f>
        <v>280 / 180</v>
      </c>
      <c r="I11" s="192">
        <f>'Прайс пром.'!I11</f>
        <v>400</v>
      </c>
      <c r="J11" s="182">
        <f>E11*G11/1000</f>
        <v>20</v>
      </c>
      <c r="K11" s="181" t="str">
        <f>CONCATENATE(ROUND(E11*0.28,2)," / ",ROUND(E11*0.18,2))</f>
        <v>56 / 36</v>
      </c>
      <c r="L11" s="182">
        <f>E11*I11/1000</f>
        <v>80</v>
      </c>
      <c r="M11" s="28" t="str">
        <f>'Прайс пром.'!M11</f>
        <v>ПЭТ бочка 50 кг</v>
      </c>
      <c r="N11" s="61">
        <v>10000</v>
      </c>
      <c r="O11" s="1"/>
    </row>
    <row r="12" spans="1:16" ht="52.5" customHeight="1">
      <c r="A12" s="979">
        <v>5</v>
      </c>
      <c r="B12" s="736" t="s">
        <v>315</v>
      </c>
      <c r="C12" s="737"/>
      <c r="D12" s="953">
        <f>'Прайс пром.'!D12*(O3+1)</f>
        <v>55</v>
      </c>
      <c r="E12" s="953">
        <v>64.959999999999994</v>
      </c>
      <c r="F12" s="958" t="s">
        <v>77</v>
      </c>
      <c r="G12" s="964" t="s">
        <v>15</v>
      </c>
      <c r="H12" s="964" t="str">
        <f>'Прайс пром.'!H12</f>
        <v>100 / 50</v>
      </c>
      <c r="I12" s="964" t="s">
        <v>15</v>
      </c>
      <c r="J12" s="1003" t="s">
        <v>15</v>
      </c>
      <c r="K12" s="964" t="s">
        <v>150</v>
      </c>
      <c r="L12" s="1005" t="s">
        <v>15</v>
      </c>
      <c r="M12" s="1002" t="str">
        <f>'Прайс пром.'!M12</f>
        <v>ПЭТ мешок 25 кг</v>
      </c>
      <c r="N12" s="995">
        <v>1624</v>
      </c>
      <c r="O12" s="1"/>
      <c r="P12" s="11"/>
    </row>
    <row r="13" spans="1:16" ht="37.5" customHeight="1" thickBot="1">
      <c r="A13" s="981"/>
      <c r="B13" s="775"/>
      <c r="C13" s="760"/>
      <c r="D13" s="985"/>
      <c r="E13" s="985"/>
      <c r="F13" s="960"/>
      <c r="G13" s="965"/>
      <c r="H13" s="965"/>
      <c r="I13" s="965"/>
      <c r="J13" s="1004"/>
      <c r="K13" s="965"/>
      <c r="L13" s="1006"/>
      <c r="M13" s="998"/>
      <c r="N13" s="996"/>
      <c r="O13" s="1"/>
      <c r="P13" s="11"/>
    </row>
    <row r="14" spans="1:16" ht="21.75" customHeight="1">
      <c r="A14" s="792">
        <v>6</v>
      </c>
      <c r="B14" s="634" t="s">
        <v>267</v>
      </c>
      <c r="C14" s="990"/>
      <c r="D14" s="986" t="str">
        <f>'Прайс пром.'!D14</f>
        <v>Готовый</v>
      </c>
      <c r="E14" s="987"/>
      <c r="F14" s="1010" t="str">
        <f>'Прайс пром.'!F14</f>
        <v>Огнезащита:
11 лет;
Скрытые полости:
30 лет</v>
      </c>
      <c r="G14" s="968" t="str">
        <f>'Прайс пром.'!G14</f>
        <v>-</v>
      </c>
      <c r="H14" s="798" t="str">
        <f>'Прайс пром.'!H14</f>
        <v>300 / 200</v>
      </c>
      <c r="I14" s="968" t="str">
        <f>'Прайс пром.'!I14</f>
        <v>-</v>
      </c>
      <c r="J14" s="968" t="s">
        <v>15</v>
      </c>
      <c r="K14" s="798" t="str">
        <f>CONCATENATE(ROUND(E15*0.3,2)," / ",ROUND(E15*0.2,2))</f>
        <v>21,77 / 14,51</v>
      </c>
      <c r="L14" s="999" t="s">
        <v>15</v>
      </c>
      <c r="M14" s="997" t="str">
        <f>'Прайс пром.'!M14</f>
        <v>ПЭТ бочка 48 кг</v>
      </c>
      <c r="N14" s="993">
        <v>3483</v>
      </c>
      <c r="O14" s="1"/>
    </row>
    <row r="15" spans="1:16" ht="30.75" customHeight="1" thickBot="1">
      <c r="A15" s="793"/>
      <c r="B15" s="636"/>
      <c r="C15" s="991"/>
      <c r="D15" s="153">
        <f>'Прайс пром.'!D15*(O3+1)</f>
        <v>61.49</v>
      </c>
      <c r="E15" s="153">
        <v>72.56</v>
      </c>
      <c r="F15" s="1011"/>
      <c r="G15" s="969"/>
      <c r="H15" s="799"/>
      <c r="I15" s="969"/>
      <c r="J15" s="969"/>
      <c r="K15" s="799" t="str">
        <f>CONCATENATE(ROUND(E15*0.104,2)," / ",ROUND(E15*0.63,2))</f>
        <v>7,55 / 45,71</v>
      </c>
      <c r="L15" s="1000"/>
      <c r="M15" s="998">
        <f>'Прайс пром.'!M15</f>
        <v>0</v>
      </c>
      <c r="N15" s="994">
        <f>E15*50</f>
        <v>3628</v>
      </c>
      <c r="O15" s="1"/>
    </row>
    <row r="16" spans="1:16" ht="18.75" customHeight="1" thickBot="1">
      <c r="A16" s="793"/>
      <c r="B16" s="636"/>
      <c r="C16" s="991"/>
      <c r="D16" s="988" t="str">
        <f>'Прайс пром.'!D16</f>
        <v>Концентрат</v>
      </c>
      <c r="E16" s="989"/>
      <c r="F16" s="1011"/>
      <c r="G16" s="969"/>
      <c r="H16" s="60">
        <f>'Прайс пром.'!H16</f>
        <v>0</v>
      </c>
      <c r="I16" s="969"/>
      <c r="J16" s="969"/>
      <c r="K16" s="58"/>
      <c r="L16" s="1000"/>
      <c r="M16" s="59"/>
      <c r="N16" s="66"/>
      <c r="O16" s="1"/>
    </row>
    <row r="17" spans="1:16" ht="48.75" customHeight="1" thickBot="1">
      <c r="A17" s="793"/>
      <c r="B17" s="636"/>
      <c r="C17" s="991"/>
      <c r="D17" s="154">
        <f>'Прайс пром.'!D17*(O3+1)</f>
        <v>146.81</v>
      </c>
      <c r="E17" s="62">
        <v>173.23</v>
      </c>
      <c r="F17" s="1011"/>
      <c r="G17" s="969"/>
      <c r="H17" s="1007" t="str">
        <f>'Прайс пром.'!H17</f>
        <v>103 / 69 Развести      1 л конц. / 3,0 л воды</v>
      </c>
      <c r="I17" s="969"/>
      <c r="J17" s="969"/>
      <c r="K17" s="134" t="str">
        <f>CONCATENATE(ROUND(E17*0.103,2)," / ",ROUND(E17*0.069,2))</f>
        <v>17,84 / 11,95</v>
      </c>
      <c r="L17" s="1000"/>
      <c r="M17" s="29" t="str">
        <f>'Прайс пром.'!M17</f>
        <v>ПЭТ бочка 65 кг</v>
      </c>
      <c r="N17" s="67">
        <v>11260</v>
      </c>
      <c r="O17" s="1"/>
    </row>
    <row r="18" spans="1:16" ht="52.5" customHeight="1" thickBot="1">
      <c r="A18" s="793"/>
      <c r="B18" s="636"/>
      <c r="C18" s="991"/>
      <c r="D18" s="154">
        <f>'Прайс пром.'!D18*(O3+1)</f>
        <v>168.17</v>
      </c>
      <c r="E18" s="62">
        <v>198.6</v>
      </c>
      <c r="F18" s="1011"/>
      <c r="G18" s="969"/>
      <c r="H18" s="1008"/>
      <c r="I18" s="969"/>
      <c r="J18" s="969"/>
      <c r="K18" s="135" t="str">
        <f>CONCATENATE(ROUND(E18*0.103,2)," / ",ROUND(E18*0.069,2))</f>
        <v>20,46 / 13,7</v>
      </c>
      <c r="L18" s="1000"/>
      <c r="M18" s="29" t="str">
        <f>'Прайс пром.'!M18</f>
        <v>ПЭТ ведро 5,0 кг</v>
      </c>
      <c r="N18" s="67">
        <v>993</v>
      </c>
      <c r="O18" s="1"/>
    </row>
    <row r="19" spans="1:16" ht="51" customHeight="1" thickBot="1">
      <c r="A19" s="794"/>
      <c r="B19" s="638"/>
      <c r="C19" s="992"/>
      <c r="D19" s="155">
        <f>'Прайс пром.'!D19*(O3+1)</f>
        <v>157.08000000000001</v>
      </c>
      <c r="E19" s="156">
        <v>185.38</v>
      </c>
      <c r="F19" s="1012"/>
      <c r="G19" s="970"/>
      <c r="H19" s="1009"/>
      <c r="I19" s="970"/>
      <c r="J19" s="970"/>
      <c r="K19" s="133" t="str">
        <f>CONCATENATE(ROUND(E19*0.103,2)," / ",ROUND(E19*0.069,2))</f>
        <v>19,09 / 12,79</v>
      </c>
      <c r="L19" s="1001"/>
      <c r="M19" s="29" t="str">
        <f>'Прайс пром.'!M19</f>
        <v>ПЭТ ведро 16 кг</v>
      </c>
      <c r="N19" s="67">
        <v>2966</v>
      </c>
      <c r="O19" s="1"/>
    </row>
    <row r="20" spans="1:16" ht="43.5" customHeight="1" thickBot="1">
      <c r="A20" s="971" t="str">
        <f>'Прайс пром.'!A20</f>
        <v>Огнебиозащитные пропитки для тканей и ковровых покрытий</v>
      </c>
      <c r="B20" s="972"/>
      <c r="C20" s="972"/>
      <c r="D20" s="972"/>
      <c r="E20" s="972"/>
      <c r="F20" s="973"/>
      <c r="G20" s="1047" t="str">
        <f>'Прайс пром.'!G20</f>
        <v>Соответствует требованиям ФЗ-123, ГОСТ Р 50810-95, ГОСТ Р 53294-2009</v>
      </c>
      <c r="H20" s="1038"/>
      <c r="I20" s="1038"/>
      <c r="J20" s="1038"/>
      <c r="K20" s="1038"/>
      <c r="L20" s="1039"/>
      <c r="M20" s="214"/>
      <c r="N20" s="276"/>
      <c r="O20" s="689"/>
    </row>
    <row r="21" spans="1:16" ht="43.5" hidden="1" customHeight="1" thickBot="1">
      <c r="A21" s="979">
        <v>7</v>
      </c>
      <c r="B21" s="697" t="s">
        <v>308</v>
      </c>
      <c r="C21" s="982"/>
      <c r="D21" s="266"/>
      <c r="E21" s="37" t="e">
        <f>'Прайс пром.'!#REF!*1.2</f>
        <v>#REF!</v>
      </c>
      <c r="F21" s="958" t="str">
        <f>'Прайс пром.'!F21</f>
        <v>5 лет</v>
      </c>
      <c r="G21" s="974" t="str">
        <f>'Прайс пром.'!G21</f>
        <v>100 - 230</v>
      </c>
      <c r="H21" s="955"/>
      <c r="I21" s="956"/>
      <c r="J21" s="1046" t="e">
        <f>CONCATENATE(ROUND(E21*0.1,2)," - ",ROUND(E21*0.23,2))</f>
        <v>#REF!</v>
      </c>
      <c r="K21" s="1044" t="e">
        <f t="shared" ref="K21:K22" si="0">CONCATENATE(ROUND(E21*0.28,2)," / ",ROUND(E21*0.18,2))</f>
        <v>#REF!</v>
      </c>
      <c r="L21" s="1045" t="e">
        <f>CONCATENATE(ROUND(#REF!*0.28,2)," / ",ROUND(#REF!*0.18,2))</f>
        <v>#REF!</v>
      </c>
      <c r="M21" s="125" t="s">
        <v>185</v>
      </c>
      <c r="N21" s="277">
        <v>1148</v>
      </c>
      <c r="O21" s="689"/>
    </row>
    <row r="22" spans="1:16" ht="48" customHeight="1" thickBot="1">
      <c r="A22" s="980"/>
      <c r="B22" s="712"/>
      <c r="C22" s="983"/>
      <c r="D22" s="279">
        <f>'Прайс пром.'!D23*(O3+1)</f>
        <v>103.35</v>
      </c>
      <c r="E22" s="227">
        <v>142.34</v>
      </c>
      <c r="F22" s="959"/>
      <c r="G22" s="975"/>
      <c r="H22" s="976"/>
      <c r="I22" s="977"/>
      <c r="J22" s="1046" t="str">
        <f>CONCATENATE(ROUND(E22*0.1,2)," - ",ROUND(E22*0.23,2))</f>
        <v>14,23 - 32,74</v>
      </c>
      <c r="K22" s="1044" t="str">
        <f t="shared" si="0"/>
        <v>39,86 / 25,62</v>
      </c>
      <c r="L22" s="1045" t="str">
        <f t="shared" ref="L22" si="1">CONCATENATE(ROUND(F22*0.28,2)," / ",ROUND(F22*0.18,2))</f>
        <v>0 / 0</v>
      </c>
      <c r="M22" s="272" t="s">
        <v>163</v>
      </c>
      <c r="N22" s="274">
        <v>2989</v>
      </c>
      <c r="O22" s="689"/>
      <c r="P22" s="11"/>
    </row>
    <row r="23" spans="1:16" ht="57.75" customHeight="1" thickBot="1">
      <c r="A23" s="981"/>
      <c r="B23" s="699"/>
      <c r="C23" s="984"/>
      <c r="D23" s="37"/>
      <c r="E23" s="37">
        <v>121.95</v>
      </c>
      <c r="F23" s="960"/>
      <c r="G23" s="978"/>
      <c r="H23" s="745"/>
      <c r="I23" s="957"/>
      <c r="J23" s="961" t="s">
        <v>194</v>
      </c>
      <c r="K23" s="962" t="s">
        <v>187</v>
      </c>
      <c r="L23" s="963" t="e">
        <v>#VALUE!</v>
      </c>
      <c r="M23" s="272" t="s">
        <v>99</v>
      </c>
      <c r="N23" s="277">
        <v>5244</v>
      </c>
      <c r="O23" s="216"/>
      <c r="P23" s="11"/>
    </row>
    <row r="24" spans="1:16" ht="48" hidden="1" customHeight="1" thickBot="1">
      <c r="A24" s="979">
        <v>8</v>
      </c>
      <c r="B24" s="702" t="s">
        <v>309</v>
      </c>
      <c r="C24" s="703"/>
      <c r="D24" s="37"/>
      <c r="E24" s="273" t="e">
        <f>'Прайс пром.'!#REF!*1.2</f>
        <v>#REF!</v>
      </c>
      <c r="F24" s="958" t="str">
        <f>'Прайс пром.'!F24</f>
        <v>5 лет</v>
      </c>
      <c r="G24" s="974" t="str">
        <f>'Прайс пром.'!G24</f>
        <v>150 - 350</v>
      </c>
      <c r="H24" s="955"/>
      <c r="I24" s="956"/>
      <c r="J24" s="961" t="s">
        <v>202</v>
      </c>
      <c r="K24" s="962"/>
      <c r="L24" s="963"/>
      <c r="M24" s="125" t="s">
        <v>185</v>
      </c>
      <c r="N24" s="275">
        <v>1522</v>
      </c>
      <c r="O24" s="264"/>
      <c r="P24" s="11"/>
    </row>
    <row r="25" spans="1:16" ht="48" customHeight="1" thickBot="1">
      <c r="A25" s="980"/>
      <c r="B25" s="704"/>
      <c r="C25" s="705"/>
      <c r="D25" s="37">
        <f>'Прайс пром.'!D26*(O3+1)</f>
        <v>108.63</v>
      </c>
      <c r="E25" s="273">
        <v>149.66</v>
      </c>
      <c r="F25" s="959"/>
      <c r="G25" s="975"/>
      <c r="H25" s="976"/>
      <c r="I25" s="977"/>
      <c r="J25" s="961" t="s">
        <v>188</v>
      </c>
      <c r="K25" s="962" t="s">
        <v>189</v>
      </c>
      <c r="L25" s="963" t="s">
        <v>190</v>
      </c>
      <c r="M25" s="272" t="s">
        <v>163</v>
      </c>
      <c r="N25" s="275">
        <v>3142.8</v>
      </c>
      <c r="O25" s="1"/>
    </row>
    <row r="26" spans="1:16" ht="71.25" customHeight="1" thickBot="1">
      <c r="A26" s="981"/>
      <c r="B26" s="706"/>
      <c r="C26" s="707"/>
      <c r="D26" s="219"/>
      <c r="E26" s="273">
        <v>128.19</v>
      </c>
      <c r="F26" s="960"/>
      <c r="G26" s="978"/>
      <c r="H26" s="745"/>
      <c r="I26" s="957"/>
      <c r="J26" s="961" t="s">
        <v>191</v>
      </c>
      <c r="K26" s="962" t="s">
        <v>192</v>
      </c>
      <c r="L26" s="963" t="e">
        <v>#VALUE!</v>
      </c>
      <c r="M26" s="27" t="s">
        <v>99</v>
      </c>
      <c r="N26" s="275">
        <v>5512</v>
      </c>
      <c r="O26" s="1"/>
    </row>
    <row r="27" spans="1:16" ht="48" customHeight="1" thickBot="1">
      <c r="A27" s="980">
        <v>9</v>
      </c>
      <c r="B27" s="602" t="s">
        <v>310</v>
      </c>
      <c r="C27" s="603"/>
      <c r="D27" s="218"/>
      <c r="E27" s="37">
        <v>142.34</v>
      </c>
      <c r="F27" s="966" t="s">
        <v>6</v>
      </c>
      <c r="G27" s="975" t="s">
        <v>193</v>
      </c>
      <c r="H27" s="976"/>
      <c r="I27" s="977"/>
      <c r="J27" s="1043" t="str">
        <f>CONCATENATE(ROUND(E27*0.15,2)," - ",ROUND(E27*0.35,2))</f>
        <v>21,35 - 49,82</v>
      </c>
      <c r="K27" s="1044" t="str">
        <f t="shared" ref="K27" si="2">CONCATENATE(ROUND(E27*0.28,2)," / ",ROUND(E27*0.18,2))</f>
        <v>39,86 / 25,62</v>
      </c>
      <c r="L27" s="1045" t="e">
        <f t="shared" ref="L27" si="3">CONCATENATE(ROUND(F27*0.28,2)," / ",ROUND(F27*0.18,2))</f>
        <v>#VALUE!</v>
      </c>
      <c r="M27" s="215" t="s">
        <v>163</v>
      </c>
      <c r="N27" s="278">
        <v>2989</v>
      </c>
      <c r="O27" s="1"/>
    </row>
    <row r="28" spans="1:16" ht="48" customHeight="1" thickBot="1">
      <c r="A28" s="981"/>
      <c r="B28" s="604"/>
      <c r="C28" s="605"/>
      <c r="D28" s="265"/>
      <c r="E28" s="37">
        <v>121.95</v>
      </c>
      <c r="F28" s="967"/>
      <c r="G28" s="978"/>
      <c r="H28" s="745"/>
      <c r="I28" s="957"/>
      <c r="J28" s="961" t="s">
        <v>186</v>
      </c>
      <c r="K28" s="962" t="s">
        <v>187</v>
      </c>
      <c r="L28" s="963" t="e">
        <v>#VALUE!</v>
      </c>
      <c r="M28" s="27" t="s">
        <v>99</v>
      </c>
      <c r="N28" s="275">
        <v>5244</v>
      </c>
      <c r="O28" s="1"/>
    </row>
    <row r="29" spans="1:16" ht="33" customHeight="1" thickBot="1">
      <c r="A29" s="979">
        <v>10</v>
      </c>
      <c r="B29" s="611" t="s">
        <v>311</v>
      </c>
      <c r="C29" s="1013"/>
      <c r="D29" s="280"/>
      <c r="E29" s="953">
        <f>'Прайс пром.'!E29:E30*1.2</f>
        <v>142.34</v>
      </c>
      <c r="F29" s="958" t="str">
        <f>'Прайс пром.'!F29</f>
        <v>5 лет</v>
      </c>
      <c r="G29" s="717" t="s">
        <v>270</v>
      </c>
      <c r="H29" s="718"/>
      <c r="I29" s="718"/>
      <c r="J29" s="718"/>
      <c r="K29" s="718"/>
      <c r="L29" s="719"/>
      <c r="M29" s="282"/>
      <c r="N29" s="281"/>
      <c r="O29" s="1"/>
    </row>
    <row r="30" spans="1:16" ht="48" hidden="1" customHeight="1" thickBot="1">
      <c r="A30" s="980"/>
      <c r="B30" s="602"/>
      <c r="C30" s="1014"/>
      <c r="D30" s="280"/>
      <c r="E30" s="954"/>
      <c r="F30" s="959"/>
      <c r="G30" s="573" t="s">
        <v>20</v>
      </c>
      <c r="H30" s="574"/>
      <c r="I30" s="575"/>
      <c r="J30" s="961" t="s">
        <v>203</v>
      </c>
      <c r="K30" s="962"/>
      <c r="L30" s="963"/>
      <c r="M30" s="125" t="s">
        <v>185</v>
      </c>
      <c r="N30" s="278">
        <v>1448</v>
      </c>
      <c r="O30" s="1"/>
    </row>
    <row r="31" spans="1:16" ht="27" customHeight="1">
      <c r="A31" s="980"/>
      <c r="B31" s="602"/>
      <c r="C31" s="1014"/>
      <c r="D31" s="953">
        <f>'Прайс пром.'!D33*(O3+1)</f>
        <v>103.35</v>
      </c>
      <c r="E31" s="953">
        <v>142.34</v>
      </c>
      <c r="F31" s="959"/>
      <c r="G31" s="709"/>
      <c r="H31" s="710"/>
      <c r="I31" s="711"/>
      <c r="J31" s="955" t="s">
        <v>165</v>
      </c>
      <c r="K31" s="955"/>
      <c r="L31" s="956"/>
      <c r="M31" s="1002" t="s">
        <v>163</v>
      </c>
      <c r="N31" s="1040">
        <v>2989</v>
      </c>
      <c r="O31" s="1"/>
    </row>
    <row r="32" spans="1:16" ht="39.75" customHeight="1" thickBot="1">
      <c r="A32" s="980"/>
      <c r="B32" s="602"/>
      <c r="C32" s="1014"/>
      <c r="D32" s="954"/>
      <c r="E32" s="954">
        <f>ROUNDUP(D32*1.18,0)</f>
        <v>0</v>
      </c>
      <c r="F32" s="959"/>
      <c r="G32" s="709"/>
      <c r="H32" s="710"/>
      <c r="I32" s="711"/>
      <c r="J32" s="745"/>
      <c r="K32" s="745"/>
      <c r="L32" s="957"/>
      <c r="M32" s="998"/>
      <c r="N32" s="994">
        <f>D32*1.18*47</f>
        <v>0</v>
      </c>
      <c r="O32" s="1"/>
    </row>
    <row r="33" spans="1:27" ht="42.75" customHeight="1" thickBot="1">
      <c r="A33" s="981"/>
      <c r="B33" s="604"/>
      <c r="C33" s="1015"/>
      <c r="D33" s="228"/>
      <c r="E33" s="37">
        <v>121.34</v>
      </c>
      <c r="F33" s="960"/>
      <c r="G33" s="576"/>
      <c r="H33" s="577"/>
      <c r="I33" s="578"/>
      <c r="J33" s="1046" t="s">
        <v>196</v>
      </c>
      <c r="K33" s="1044"/>
      <c r="L33" s="1045"/>
      <c r="M33" s="27" t="s">
        <v>99</v>
      </c>
      <c r="N33" s="217">
        <v>5244</v>
      </c>
      <c r="O33" s="1"/>
    </row>
    <row r="34" spans="1:27" ht="43.5" customHeight="1" thickBot="1">
      <c r="A34" s="971" t="str">
        <f>'Прайс пром.'!A36</f>
        <v>Термоуплотнительная лента</v>
      </c>
      <c r="B34" s="972"/>
      <c r="C34" s="972"/>
      <c r="D34" s="972"/>
      <c r="E34" s="972"/>
      <c r="F34" s="973"/>
      <c r="G34" s="1036" t="str">
        <f>'Прайс пром.'!G36</f>
        <v>Не подлежит обязательной сертификации</v>
      </c>
      <c r="H34" s="1037"/>
      <c r="I34" s="1037"/>
      <c r="J34" s="1038"/>
      <c r="K34" s="1038"/>
      <c r="L34" s="1039"/>
      <c r="M34" s="673" t="s">
        <v>46</v>
      </c>
      <c r="N34" s="1041">
        <v>442</v>
      </c>
      <c r="O34" s="1"/>
    </row>
    <row r="35" spans="1:27" ht="66" customHeight="1" thickBot="1">
      <c r="A35" s="19">
        <v>11</v>
      </c>
      <c r="B35" s="604" t="s">
        <v>314</v>
      </c>
      <c r="C35" s="667"/>
      <c r="D35" s="63">
        <f>'Прайс пром.'!D37*(O3+1)</f>
        <v>55.94</v>
      </c>
      <c r="E35" s="63">
        <v>67</v>
      </c>
      <c r="F35" s="26" t="str">
        <f>'Прайс пром.'!F37</f>
        <v>10 лет</v>
      </c>
      <c r="G35" s="961" t="str">
        <f>'Прайс пром.'!G37</f>
        <v>Ширина 20 мм, толщина 2,0 мм.</v>
      </c>
      <c r="H35" s="962"/>
      <c r="I35" s="963"/>
      <c r="J35" s="1033" t="str">
        <f>CONCATENATE("Стоимость уплотнения одностворчатой двери в 1 слой ",ROUND(N34,2))</f>
        <v>Стоимость уплотнения одностворчатой двери в 1 слой 442</v>
      </c>
      <c r="K35" s="1034"/>
      <c r="L35" s="1035"/>
      <c r="M35" s="674"/>
      <c r="N35" s="1042"/>
      <c r="O35" s="1"/>
    </row>
    <row r="36" spans="1:27" ht="10.5" customHeight="1">
      <c r="D36">
        <f>'Прайс пром.'!D38</f>
        <v>0</v>
      </c>
      <c r="E36">
        <f>D36*1.18</f>
        <v>0</v>
      </c>
      <c r="F36">
        <f>'Прайс пром.'!F38</f>
        <v>0</v>
      </c>
      <c r="G36">
        <f>'Прайс пром.'!G38</f>
        <v>0</v>
      </c>
      <c r="H36">
        <f>'Прайс пром.'!H38</f>
        <v>0</v>
      </c>
      <c r="I36">
        <f>'Прайс пром.'!I38</f>
        <v>0</v>
      </c>
      <c r="J36">
        <f>'Прайс пром.'!J38</f>
        <v>0</v>
      </c>
      <c r="K36">
        <f>'Прайс пром.'!K38</f>
        <v>0</v>
      </c>
      <c r="L36">
        <f>'Прайс пром.'!L38</f>
        <v>0</v>
      </c>
      <c r="M36">
        <f>'Прайс пром.'!M38</f>
        <v>0</v>
      </c>
      <c r="N36" s="68">
        <f>'Прайс пром.'!N38</f>
        <v>0</v>
      </c>
    </row>
    <row r="37" spans="1:27" ht="0.75" customHeight="1">
      <c r="D37">
        <f>'Прайс пром.'!D39</f>
        <v>0</v>
      </c>
      <c r="E37">
        <f>'Прайс пром.'!E39</f>
        <v>0</v>
      </c>
      <c r="F37">
        <f>'Прайс пром.'!F39</f>
        <v>0</v>
      </c>
      <c r="G37">
        <f>'Прайс пром.'!G39</f>
        <v>0</v>
      </c>
      <c r="H37">
        <f>'Прайс пром.'!H39</f>
        <v>0</v>
      </c>
      <c r="I37">
        <f>'Прайс пром.'!I39</f>
        <v>0</v>
      </c>
      <c r="J37">
        <f>'Прайс пром.'!J39</f>
        <v>0</v>
      </c>
      <c r="K37">
        <f>'Прайс пром.'!K39</f>
        <v>0</v>
      </c>
      <c r="L37">
        <f>'Прайс пром.'!L39</f>
        <v>0</v>
      </c>
      <c r="M37">
        <f>'Прайс пром.'!M39</f>
        <v>0</v>
      </c>
      <c r="N37" s="68">
        <f>'Прайс пром.'!N39</f>
        <v>0</v>
      </c>
    </row>
    <row r="38" spans="1:27" s="7" customFormat="1" ht="20.25" customHeight="1">
      <c r="A38" s="20" t="s">
        <v>78</v>
      </c>
      <c r="B38" s="20"/>
      <c r="D38" s="1032"/>
      <c r="E38" s="1032"/>
      <c r="F38" s="1032"/>
      <c r="G38" s="1032"/>
      <c r="H38" s="1032"/>
      <c r="I38" s="1032"/>
      <c r="J38" s="1032"/>
      <c r="K38" s="1032"/>
      <c r="L38" s="8"/>
      <c r="M38" s="8"/>
      <c r="N38" s="69"/>
      <c r="O38" s="679"/>
      <c r="P38" s="679"/>
      <c r="Q38" s="679"/>
      <c r="R38" s="679"/>
      <c r="S38" s="679"/>
      <c r="T38" s="679"/>
      <c r="U38" s="679"/>
      <c r="V38" s="679"/>
      <c r="W38" s="679"/>
      <c r="X38" s="679"/>
      <c r="Y38" s="679"/>
      <c r="Z38" s="679"/>
      <c r="AA38" s="679"/>
    </row>
    <row r="39" spans="1:27" s="7" customFormat="1" ht="25.5">
      <c r="A39" s="21" t="s">
        <v>92</v>
      </c>
      <c r="B39" s="21"/>
      <c r="C39" s="8"/>
      <c r="D39" s="683"/>
      <c r="E39" s="683"/>
      <c r="F39" s="683"/>
      <c r="G39" s="683"/>
      <c r="H39" s="683"/>
      <c r="I39" s="683"/>
      <c r="J39" s="683"/>
      <c r="K39" s="683"/>
      <c r="L39" s="683"/>
      <c r="M39" s="683"/>
      <c r="N39" s="69"/>
      <c r="O39" s="8"/>
      <c r="P39" s="8"/>
    </row>
    <row r="40" spans="1:27" s="7" customFormat="1" ht="25.5">
      <c r="A40" s="21" t="s">
        <v>79</v>
      </c>
      <c r="B40" s="21"/>
      <c r="C40" s="8"/>
      <c r="D40" s="671"/>
      <c r="E40" s="671"/>
      <c r="F40" s="671"/>
      <c r="G40" s="671"/>
      <c r="H40" s="671"/>
      <c r="I40" s="671"/>
      <c r="J40" s="671"/>
      <c r="K40" s="671"/>
      <c r="L40" s="671"/>
      <c r="M40" s="671"/>
      <c r="N40" s="69"/>
    </row>
    <row r="41" spans="1:27" s="7" customFormat="1" ht="23.25">
      <c r="A41" s="21" t="s">
        <v>204</v>
      </c>
      <c r="B41" s="21"/>
      <c r="C41" s="8"/>
      <c r="D41" s="22"/>
      <c r="E41" s="9"/>
      <c r="F41" s="10"/>
      <c r="G41" s="9"/>
      <c r="H41" s="10"/>
      <c r="I41" s="9"/>
      <c r="J41" s="10"/>
      <c r="K41" s="9"/>
      <c r="L41" s="10"/>
      <c r="M41" s="8"/>
      <c r="N41" s="70"/>
    </row>
    <row r="42" spans="1:27" s="7" customFormat="1" ht="25.5">
      <c r="A42" s="21" t="s">
        <v>205</v>
      </c>
      <c r="B42" s="21"/>
      <c r="C42" s="8"/>
      <c r="D42" s="1031"/>
      <c r="E42" s="1031"/>
      <c r="F42" s="1031"/>
      <c r="G42" s="1031"/>
      <c r="H42" s="10"/>
      <c r="I42" s="9"/>
      <c r="J42" s="10"/>
      <c r="K42" s="9"/>
      <c r="L42" s="10"/>
      <c r="M42" s="8"/>
      <c r="N42" s="70"/>
    </row>
    <row r="43" spans="1:27" s="7" customFormat="1" ht="25.5">
      <c r="A43" s="21" t="s">
        <v>215</v>
      </c>
      <c r="B43" s="21"/>
      <c r="C43" s="8"/>
      <c r="D43" s="30">
        <f>'Прайс пром.'!D45</f>
        <v>0</v>
      </c>
      <c r="E43" s="13">
        <f>'Прайс пром.'!E45</f>
        <v>0</v>
      </c>
      <c r="F43" s="10"/>
      <c r="G43" s="9"/>
      <c r="H43" s="10"/>
      <c r="I43" s="9"/>
      <c r="J43" s="10"/>
      <c r="K43" s="9"/>
      <c r="L43" s="10"/>
      <c r="M43" s="8"/>
      <c r="N43" s="70"/>
    </row>
    <row r="44" spans="1:27" ht="22.5" customHeight="1">
      <c r="A44" s="21" t="s">
        <v>206</v>
      </c>
      <c r="B44" s="21"/>
      <c r="C44" s="8"/>
      <c r="D44" s="30"/>
      <c r="F44" t="s">
        <v>195</v>
      </c>
    </row>
    <row r="45" spans="1:27" ht="23.25">
      <c r="A45" s="21" t="s">
        <v>312</v>
      </c>
      <c r="B45" s="21"/>
    </row>
    <row r="46" spans="1:27" ht="23.25">
      <c r="A46" s="140" t="s">
        <v>313</v>
      </c>
    </row>
    <row r="47" spans="1:27" ht="23.25">
      <c r="A47" s="21"/>
    </row>
    <row r="48" spans="1:27" ht="23.25">
      <c r="A48" s="21"/>
      <c r="N48"/>
    </row>
    <row r="49" spans="1:14" ht="23.25">
      <c r="A49" s="21"/>
      <c r="N49"/>
    </row>
    <row r="50" spans="1:14" ht="23.25">
      <c r="A50" s="21"/>
      <c r="N50"/>
    </row>
    <row r="51" spans="1:14" ht="23.25">
      <c r="A51" s="21"/>
      <c r="N51"/>
    </row>
    <row r="52" spans="1:14" ht="18">
      <c r="A52" s="8"/>
      <c r="N52"/>
    </row>
  </sheetData>
  <sheetProtection selectLockedCells="1"/>
  <mergeCells count="99">
    <mergeCell ref="J25:L25"/>
    <mergeCell ref="O20:O22"/>
    <mergeCell ref="J27:L27"/>
    <mergeCell ref="J33:L33"/>
    <mergeCell ref="J26:L26"/>
    <mergeCell ref="J23:L23"/>
    <mergeCell ref="G20:L20"/>
    <mergeCell ref="J22:L22"/>
    <mergeCell ref="J24:L24"/>
    <mergeCell ref="J28:L28"/>
    <mergeCell ref="G27:I28"/>
    <mergeCell ref="J21:L21"/>
    <mergeCell ref="G24:I26"/>
    <mergeCell ref="L40:M40"/>
    <mergeCell ref="D39:E39"/>
    <mergeCell ref="F39:G39"/>
    <mergeCell ref="O38:AA38"/>
    <mergeCell ref="N31:N32"/>
    <mergeCell ref="N34:N35"/>
    <mergeCell ref="M31:M32"/>
    <mergeCell ref="M34:M35"/>
    <mergeCell ref="D42:G42"/>
    <mergeCell ref="D31:D32"/>
    <mergeCell ref="J40:K40"/>
    <mergeCell ref="D40:E40"/>
    <mergeCell ref="E31:E32"/>
    <mergeCell ref="F40:G40"/>
    <mergeCell ref="H40:I40"/>
    <mergeCell ref="G35:I35"/>
    <mergeCell ref="J39:K39"/>
    <mergeCell ref="D38:K38"/>
    <mergeCell ref="H39:I39"/>
    <mergeCell ref="A34:F34"/>
    <mergeCell ref="J35:L35"/>
    <mergeCell ref="B35:C35"/>
    <mergeCell ref="G34:L34"/>
    <mergeCell ref="A29:A33"/>
    <mergeCell ref="B29:C33"/>
    <mergeCell ref="G29:L29"/>
    <mergeCell ref="L39:M39"/>
    <mergeCell ref="C1:L1"/>
    <mergeCell ref="A6:F6"/>
    <mergeCell ref="A2:N2"/>
    <mergeCell ref="D3:F3"/>
    <mergeCell ref="M10:N10"/>
    <mergeCell ref="A4:N4"/>
    <mergeCell ref="A3:C3"/>
    <mergeCell ref="B5:C5"/>
    <mergeCell ref="G5:I5"/>
    <mergeCell ref="J5:L5"/>
    <mergeCell ref="J10:L10"/>
    <mergeCell ref="B10:I10"/>
    <mergeCell ref="B8:C8"/>
    <mergeCell ref="B9:C9"/>
    <mergeCell ref="N14:N15"/>
    <mergeCell ref="N12:N13"/>
    <mergeCell ref="K14:K15"/>
    <mergeCell ref="I14:I19"/>
    <mergeCell ref="M14:M15"/>
    <mergeCell ref="J14:J19"/>
    <mergeCell ref="L14:L19"/>
    <mergeCell ref="M12:M13"/>
    <mergeCell ref="K12:K13"/>
    <mergeCell ref="J12:J13"/>
    <mergeCell ref="L12:L13"/>
    <mergeCell ref="I12:I13"/>
    <mergeCell ref="H17:H19"/>
    <mergeCell ref="F14:F19"/>
    <mergeCell ref="F12:F13"/>
    <mergeCell ref="A14:A19"/>
    <mergeCell ref="A12:A13"/>
    <mergeCell ref="D12:D13"/>
    <mergeCell ref="G12:G13"/>
    <mergeCell ref="B12:C13"/>
    <mergeCell ref="E12:E13"/>
    <mergeCell ref="D14:E14"/>
    <mergeCell ref="D16:E16"/>
    <mergeCell ref="B14:C19"/>
    <mergeCell ref="A27:A28"/>
    <mergeCell ref="B27:C28"/>
    <mergeCell ref="A24:A26"/>
    <mergeCell ref="B24:C26"/>
    <mergeCell ref="F24:F26"/>
    <mergeCell ref="B7:C7"/>
    <mergeCell ref="E29:E30"/>
    <mergeCell ref="J31:L32"/>
    <mergeCell ref="F29:F33"/>
    <mergeCell ref="G30:I33"/>
    <mergeCell ref="J30:L30"/>
    <mergeCell ref="F21:F23"/>
    <mergeCell ref="H12:H13"/>
    <mergeCell ref="F27:F28"/>
    <mergeCell ref="H14:H15"/>
    <mergeCell ref="G14:G19"/>
    <mergeCell ref="A20:F20"/>
    <mergeCell ref="G21:I23"/>
    <mergeCell ref="A21:A23"/>
    <mergeCell ref="B21:C23"/>
    <mergeCell ref="B11:C11"/>
  </mergeCells>
  <phoneticPr fontId="2" type="noConversion"/>
  <printOptions horizontalCentered="1"/>
  <pageMargins left="0.51181102362204722" right="0.23622047244094491" top="0.19685039370078741" bottom="0.15748031496062992" header="0.19685039370078741" footer="0.15748031496062992"/>
  <pageSetup paperSize="9" scale="2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O35"/>
  <sheetViews>
    <sheetView showZeros="0" view="pageBreakPreview" topLeftCell="C1" zoomScale="40" zoomScaleNormal="31" zoomScaleSheetLayoutView="40" workbookViewId="0">
      <selection activeCell="B25" sqref="B25:C26"/>
    </sheetView>
  </sheetViews>
  <sheetFormatPr defaultColWidth="9.140625" defaultRowHeight="12.75"/>
  <cols>
    <col min="1" max="1" width="7.7109375" customWidth="1"/>
    <col min="2" max="2" width="18.85546875" customWidth="1"/>
    <col min="3" max="3" width="189.7109375" customWidth="1"/>
    <col min="4" max="4" width="32.85546875" hidden="1" customWidth="1"/>
    <col min="5" max="5" width="36.42578125" customWidth="1"/>
    <col min="6" max="6" width="39.28515625" customWidth="1"/>
    <col min="9" max="9" width="12.140625" customWidth="1"/>
    <col min="10" max="10" width="14.140625" customWidth="1"/>
    <col min="11" max="11" width="14.28515625" customWidth="1"/>
    <col min="12" max="12" width="24.140625" customWidth="1"/>
    <col min="13" max="13" width="38.5703125" customWidth="1"/>
    <col min="14" max="14" width="38.85546875" customWidth="1"/>
    <col min="15" max="15" width="28" hidden="1" customWidth="1"/>
  </cols>
  <sheetData>
    <row r="1" spans="1:15" ht="64.5" customHeight="1">
      <c r="A1">
        <f>'прайс пром.2'!A1</f>
        <v>0</v>
      </c>
      <c r="C1" s="743" t="s">
        <v>94</v>
      </c>
      <c r="D1" s="744"/>
      <c r="E1" s="744"/>
      <c r="F1" s="744"/>
      <c r="G1" s="744"/>
      <c r="H1" s="744"/>
      <c r="I1" s="744"/>
      <c r="J1" s="744"/>
      <c r="K1" s="744"/>
      <c r="L1" s="744"/>
      <c r="M1" s="744"/>
      <c r="N1" s="744"/>
    </row>
    <row r="2" spans="1:15" ht="16.5" customHeight="1">
      <c r="A2" s="132">
        <f>'прайс пром.2'!A2</f>
        <v>0</v>
      </c>
      <c r="B2" s="132"/>
      <c r="C2" s="744"/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</row>
    <row r="3" spans="1:15" ht="51.75" customHeight="1">
      <c r="A3" s="751" t="str">
        <f>'прайс пром.2'!A3</f>
        <v>Антисептики и ЛКМ промышленного назначения</v>
      </c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89" t="s">
        <v>65</v>
      </c>
    </row>
    <row r="4" spans="1:15" ht="32.25" customHeight="1" thickBot="1">
      <c r="A4" s="1058" t="str">
        <f>'прайс пром.2'!A4</f>
        <v>Действует с 15.04.2014г.</v>
      </c>
      <c r="B4" s="1058"/>
      <c r="C4" s="1058"/>
      <c r="D4" s="6"/>
      <c r="E4" s="745" t="s">
        <v>66</v>
      </c>
      <c r="F4" s="745"/>
      <c r="G4" s="6">
        <f>'прайс пром.2'!G4</f>
        <v>0</v>
      </c>
      <c r="H4" s="6">
        <f>'прайс пром.2'!H4</f>
        <v>0</v>
      </c>
      <c r="I4" s="6"/>
      <c r="J4" s="6"/>
      <c r="K4" s="6"/>
      <c r="L4" s="6"/>
      <c r="M4" s="6">
        <f>'прайс пром.2'!M4</f>
        <v>0</v>
      </c>
      <c r="N4" s="6"/>
      <c r="O4" s="91">
        <v>0.1</v>
      </c>
    </row>
    <row r="5" spans="1:15" ht="39" customHeight="1" thickBot="1">
      <c r="A5" s="722" t="str">
        <f>'прайс пром.2'!A5</f>
        <v>Антисептики и дезинфекторы</v>
      </c>
      <c r="B5" s="724"/>
      <c r="C5" s="724"/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5"/>
    </row>
    <row r="6" spans="1:15" ht="126.75" customHeight="1" thickBot="1">
      <c r="A6" s="23" t="str">
        <f>'прайс пром.2'!A6</f>
        <v>№</v>
      </c>
      <c r="B6" s="752" t="s">
        <v>24</v>
      </c>
      <c r="C6" s="753"/>
      <c r="D6" s="15" t="str">
        <f>'прайс пром.2'!D6</f>
        <v>Цена
 за 1 кг без НДС, руб.</v>
      </c>
      <c r="E6" s="15" t="s">
        <v>52</v>
      </c>
      <c r="F6" s="16" t="str">
        <f>'прайс пром.2'!F6</f>
        <v>Срок службы покрытия, внутренние / наружные</v>
      </c>
      <c r="G6" s="1020" t="str">
        <f>'прайс пром.2'!G6</f>
        <v xml:space="preserve">Расход, г/м2. </v>
      </c>
      <c r="H6" s="1021"/>
      <c r="I6" s="1022"/>
      <c r="J6" s="754" t="s">
        <v>19</v>
      </c>
      <c r="K6" s="755"/>
      <c r="L6" s="756"/>
      <c r="M6" s="32" t="str">
        <f>'прайс пром.2'!M6</f>
        <v>Фасовка</v>
      </c>
      <c r="N6" s="16" t="s">
        <v>31</v>
      </c>
    </row>
    <row r="7" spans="1:15" ht="148.5" customHeight="1" thickBot="1">
      <c r="A7" s="190">
        <v>1</v>
      </c>
      <c r="B7" s="736" t="s">
        <v>300</v>
      </c>
      <c r="C7" s="737"/>
      <c r="D7" s="52">
        <f>'прайс пром.2'!D8*(O4+1)</f>
        <v>136.15</v>
      </c>
      <c r="E7" s="184">
        <v>92.67</v>
      </c>
      <c r="F7" s="188" t="s">
        <v>33</v>
      </c>
      <c r="G7" s="731">
        <v>120</v>
      </c>
      <c r="H7" s="732"/>
      <c r="I7" s="733"/>
      <c r="J7" s="726">
        <f>E7*G7/1000</f>
        <v>11.12</v>
      </c>
      <c r="K7" s="727"/>
      <c r="L7" s="728"/>
      <c r="M7" s="38" t="str">
        <f>'прайс пром.2'!M7</f>
        <v>ПЭТ бочка 43 кг</v>
      </c>
      <c r="N7" s="93">
        <v>3985</v>
      </c>
    </row>
    <row r="8" spans="1:15" ht="101.25" customHeight="1" thickBot="1">
      <c r="A8" s="190">
        <v>2</v>
      </c>
      <c r="B8" s="734" t="s">
        <v>316</v>
      </c>
      <c r="C8" s="735"/>
      <c r="D8" s="52">
        <f>'прайс пром.2'!D9*(O4+1)</f>
        <v>136.15</v>
      </c>
      <c r="E8" s="184">
        <v>160.65</v>
      </c>
      <c r="F8" s="189" t="str">
        <f>'прайс пром.2'!F9</f>
        <v>18 / 8 лет</v>
      </c>
      <c r="G8" s="731">
        <f>'прайс пром.2'!G9</f>
        <v>80</v>
      </c>
      <c r="H8" s="732"/>
      <c r="I8" s="733"/>
      <c r="J8" s="726">
        <f>E8*G8/1000</f>
        <v>12.85</v>
      </c>
      <c r="K8" s="591"/>
      <c r="L8" s="592"/>
      <c r="M8" s="38" t="str">
        <f>'прайс пром.2'!M9</f>
        <v>ПЭТ бочка 40 кг</v>
      </c>
      <c r="N8" s="93">
        <v>6426</v>
      </c>
    </row>
    <row r="9" spans="1:15" ht="119.25" customHeight="1" thickBot="1">
      <c r="A9" s="190">
        <v>3</v>
      </c>
      <c r="B9" s="736" t="s">
        <v>278</v>
      </c>
      <c r="C9" s="737"/>
      <c r="D9" s="53">
        <f>'прайс пром.2'!D10*(O4+1)</f>
        <v>0</v>
      </c>
      <c r="E9" s="184">
        <v>160.65</v>
      </c>
      <c r="F9" s="189" t="s">
        <v>39</v>
      </c>
      <c r="G9" s="731">
        <v>80</v>
      </c>
      <c r="H9" s="732"/>
      <c r="I9" s="733"/>
      <c r="J9" s="726">
        <f>E9*G9/1000</f>
        <v>12.85</v>
      </c>
      <c r="K9" s="727"/>
      <c r="L9" s="728"/>
      <c r="M9" s="39" t="s">
        <v>72</v>
      </c>
      <c r="N9" s="93">
        <v>6426</v>
      </c>
    </row>
    <row r="10" spans="1:15" ht="38.25" customHeight="1" thickBot="1">
      <c r="A10" s="722" t="s">
        <v>34</v>
      </c>
      <c r="B10" s="724"/>
      <c r="C10" s="724"/>
      <c r="D10" s="724"/>
      <c r="E10" s="724"/>
      <c r="F10" s="724"/>
      <c r="G10" s="724"/>
      <c r="H10" s="724"/>
      <c r="I10" s="724"/>
      <c r="J10" s="724"/>
      <c r="K10" s="724"/>
      <c r="L10" s="724"/>
      <c r="M10" s="724"/>
      <c r="N10" s="725"/>
    </row>
    <row r="11" spans="1:15" ht="125.25" customHeight="1" thickBot="1">
      <c r="A11" s="33">
        <v>4</v>
      </c>
      <c r="B11" s="746" t="s">
        <v>317</v>
      </c>
      <c r="C11" s="747"/>
      <c r="D11" s="53" t="e">
        <f>'прайс пром.2'!#REF!*(O4+1)</f>
        <v>#REF!</v>
      </c>
      <c r="E11" s="53">
        <v>116</v>
      </c>
      <c r="F11" s="35" t="s">
        <v>127</v>
      </c>
      <c r="G11" s="748" t="s">
        <v>279</v>
      </c>
      <c r="H11" s="749"/>
      <c r="I11" s="750"/>
      <c r="J11" s="748" t="str">
        <f>CONCATENATE("Комплект (А+Б): ",ROUND(E11*0.365,2))</f>
        <v>Комплект (А+Б): 42,34</v>
      </c>
      <c r="K11" s="749"/>
      <c r="L11" s="750"/>
      <c r="M11" s="78" t="s">
        <v>280</v>
      </c>
      <c r="N11" s="93">
        <f>E11*90</f>
        <v>10440</v>
      </c>
    </row>
    <row r="12" spans="1:15">
      <c r="D12">
        <f>'прайс пром.2'!D12</f>
        <v>0</v>
      </c>
    </row>
    <row r="13" spans="1:15" ht="27" customHeight="1">
      <c r="B13" s="55"/>
      <c r="D13" s="57" t="str">
        <f>'прайс пром.2'!D13</f>
        <v xml:space="preserve"> 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5" ht="19.5" customHeight="1" thickBot="1">
      <c r="D14">
        <f>'прайс пром.2'!D14</f>
        <v>0</v>
      </c>
    </row>
    <row r="15" spans="1:15" ht="38.25" customHeight="1" thickBot="1">
      <c r="A15" s="722" t="str">
        <f>'прайс пром.2'!A15</f>
        <v>Лакокрасочная продукция с антисептическим эффектом</v>
      </c>
      <c r="B15" s="724"/>
      <c r="C15" s="724"/>
      <c r="D15" s="724"/>
      <c r="E15" s="724"/>
      <c r="F15" s="724"/>
      <c r="G15" s="724"/>
      <c r="H15" s="724"/>
      <c r="I15" s="724"/>
      <c r="J15" s="724"/>
      <c r="K15" s="724"/>
      <c r="L15" s="724"/>
      <c r="M15" s="724"/>
      <c r="N15" s="725"/>
    </row>
    <row r="16" spans="1:15" ht="128.25" customHeight="1" thickBot="1">
      <c r="A16" s="34" t="str">
        <f>'прайс пром.2'!A16</f>
        <v>№</v>
      </c>
      <c r="B16" s="722" t="s">
        <v>24</v>
      </c>
      <c r="C16" s="723"/>
      <c r="D16" s="157"/>
      <c r="E16" s="16" t="s">
        <v>107</v>
      </c>
      <c r="F16" s="16" t="str">
        <f>'прайс пром.2'!F16</f>
        <v>Срок службы покрытия, внутренние / наружные</v>
      </c>
      <c r="G16" s="1020" t="str">
        <f>'прайс пром.2'!G16</f>
        <v>Расход мл/м2</v>
      </c>
      <c r="H16" s="1022"/>
      <c r="I16" s="738" t="s">
        <v>37</v>
      </c>
      <c r="J16" s="739"/>
      <c r="K16" s="740" t="s">
        <v>11</v>
      </c>
      <c r="L16" s="741"/>
      <c r="M16" s="36" t="str">
        <f>'прайс пром.2'!M16</f>
        <v>Фасовка (ж/б), л</v>
      </c>
      <c r="N16" s="16" t="s">
        <v>31</v>
      </c>
    </row>
    <row r="17" spans="1:14" ht="57" customHeight="1" thickBot="1">
      <c r="A17" s="1059">
        <v>5</v>
      </c>
      <c r="B17" s="1062"/>
      <c r="C17" s="1065" t="s">
        <v>174</v>
      </c>
      <c r="D17" s="16"/>
      <c r="E17" s="54">
        <v>178.95</v>
      </c>
      <c r="F17" s="761" t="s">
        <v>105</v>
      </c>
      <c r="G17" s="731" t="s">
        <v>281</v>
      </c>
      <c r="H17" s="733"/>
      <c r="I17" s="727" t="s">
        <v>113</v>
      </c>
      <c r="J17" s="728"/>
      <c r="K17" s="788" t="s">
        <v>110</v>
      </c>
      <c r="L17" s="789"/>
      <c r="M17" s="159">
        <f>'прайс пром.2'!M17</f>
        <v>0.95</v>
      </c>
      <c r="N17" s="158">
        <v>170</v>
      </c>
    </row>
    <row r="18" spans="1:14" ht="57" customHeight="1" thickBot="1">
      <c r="A18" s="1060"/>
      <c r="B18" s="1063"/>
      <c r="C18" s="1066"/>
      <c r="D18" s="16"/>
      <c r="E18" s="54">
        <v>166.06</v>
      </c>
      <c r="F18" s="762"/>
      <c r="G18" s="763"/>
      <c r="H18" s="764"/>
      <c r="I18" s="726" t="s">
        <v>153</v>
      </c>
      <c r="J18" s="728"/>
      <c r="K18" s="788" t="s">
        <v>115</v>
      </c>
      <c r="L18" s="789"/>
      <c r="M18" s="159">
        <f>'прайс пром.2'!M18</f>
        <v>3.3</v>
      </c>
      <c r="N18" s="158">
        <v>548</v>
      </c>
    </row>
    <row r="19" spans="1:14" ht="57" customHeight="1" thickBot="1">
      <c r="A19" s="1061"/>
      <c r="B19" s="1064"/>
      <c r="C19" s="1067"/>
      <c r="D19" s="16"/>
      <c r="E19" s="54">
        <v>151.18</v>
      </c>
      <c r="F19" s="762"/>
      <c r="G19" s="763"/>
      <c r="H19" s="764"/>
      <c r="I19" s="726" t="s">
        <v>154</v>
      </c>
      <c r="J19" s="728"/>
      <c r="K19" s="788" t="s">
        <v>111</v>
      </c>
      <c r="L19" s="789"/>
      <c r="M19" s="159">
        <v>11</v>
      </c>
      <c r="N19" s="158">
        <v>1663</v>
      </c>
    </row>
    <row r="20" spans="1:14" ht="57" customHeight="1" thickBot="1">
      <c r="A20" s="1059">
        <v>6</v>
      </c>
      <c r="B20" s="1062"/>
      <c r="C20" s="1065" t="s">
        <v>143</v>
      </c>
      <c r="D20" s="16"/>
      <c r="E20" s="54">
        <v>195.56</v>
      </c>
      <c r="F20" s="798" t="s">
        <v>144</v>
      </c>
      <c r="G20" s="731" t="s">
        <v>145</v>
      </c>
      <c r="H20" s="733"/>
      <c r="I20" s="726" t="s">
        <v>156</v>
      </c>
      <c r="J20" s="728"/>
      <c r="K20" s="790" t="s">
        <v>147</v>
      </c>
      <c r="L20" s="791"/>
      <c r="M20" s="79">
        <v>0.9</v>
      </c>
      <c r="N20" s="158">
        <v>176</v>
      </c>
    </row>
    <row r="21" spans="1:14" ht="57" customHeight="1" thickBot="1">
      <c r="A21" s="1061"/>
      <c r="B21" s="1064"/>
      <c r="C21" s="1067"/>
      <c r="D21" s="16"/>
      <c r="E21" s="54">
        <v>177.77</v>
      </c>
      <c r="F21" s="799"/>
      <c r="G21" s="800"/>
      <c r="H21" s="801"/>
      <c r="I21" s="726" t="s">
        <v>157</v>
      </c>
      <c r="J21" s="728"/>
      <c r="K21" s="790" t="s">
        <v>148</v>
      </c>
      <c r="L21" s="791"/>
      <c r="M21" s="79">
        <v>2.7</v>
      </c>
      <c r="N21" s="158">
        <v>480</v>
      </c>
    </row>
    <row r="22" spans="1:14" ht="111.75" customHeight="1" thickBot="1">
      <c r="A22" s="34" t="str">
        <f>'прайс пром.2'!A22</f>
        <v>№</v>
      </c>
      <c r="B22" s="722" t="s">
        <v>24</v>
      </c>
      <c r="C22" s="723"/>
      <c r="D22" s="16" t="str">
        <f>'прайс пром.2'!D22</f>
        <v>Цена
 за 1 кг без НДС, руб.</v>
      </c>
      <c r="E22" s="16" t="s">
        <v>52</v>
      </c>
      <c r="F22" s="16" t="str">
        <f>'прайс пром.2'!F22</f>
        <v>Срок службы покрытия</v>
      </c>
      <c r="G22" s="1020" t="str">
        <f>'прайс пром.2'!G22</f>
        <v>Расход г/м2</v>
      </c>
      <c r="H22" s="1022"/>
      <c r="I22" s="738" t="s">
        <v>37</v>
      </c>
      <c r="J22" s="739"/>
      <c r="K22" s="740" t="s">
        <v>11</v>
      </c>
      <c r="L22" s="741"/>
      <c r="M22" s="36" t="str">
        <f>'прайс пром.2'!M22</f>
        <v>Фасовка (ПЭТ ведра), кг</v>
      </c>
      <c r="N22" s="16" t="s">
        <v>31</v>
      </c>
    </row>
    <row r="23" spans="1:14" ht="55.5" customHeight="1" thickBot="1">
      <c r="A23" s="979">
        <f>'прайс пром.2'!A23</f>
        <v>7</v>
      </c>
      <c r="B23" s="736" t="s">
        <v>302</v>
      </c>
      <c r="C23" s="737"/>
      <c r="D23" s="54">
        <f>'прайс пром.2'!D23*(O4+1)</f>
        <v>40.68</v>
      </c>
      <c r="E23" s="54">
        <v>52.42</v>
      </c>
      <c r="F23" s="1052" t="str">
        <f>'прайс пром.2'!F23</f>
        <v>нанесение по мере необходимости</v>
      </c>
      <c r="G23" s="1054" t="str">
        <f>'прайс пром.2'!G23</f>
        <v>60-120</v>
      </c>
      <c r="H23" s="1055"/>
      <c r="I23" s="778" t="str">
        <f>CONCATENATE(ROUND(E23*0.09,2)," - ",ROUND(E23*0.12,2))</f>
        <v>4,72 - 6,29</v>
      </c>
      <c r="J23" s="779"/>
      <c r="K23" s="765" t="s">
        <v>13</v>
      </c>
      <c r="L23" s="765"/>
      <c r="M23" s="79">
        <f>'прайс пром.2'!M23</f>
        <v>3.3</v>
      </c>
      <c r="N23" s="96">
        <v>173</v>
      </c>
    </row>
    <row r="24" spans="1:14" ht="55.5" customHeight="1" thickBot="1">
      <c r="A24" s="981"/>
      <c r="B24" s="775"/>
      <c r="C24" s="760"/>
      <c r="D24" s="54">
        <f>'прайс пром.2'!D24*(O4+1)</f>
        <v>37.92</v>
      </c>
      <c r="E24" s="54">
        <v>48.86</v>
      </c>
      <c r="F24" s="1053"/>
      <c r="G24" s="1056"/>
      <c r="H24" s="1057"/>
      <c r="I24" s="778" t="str">
        <f>CONCATENATE(ROUND(E24*0.09,2)," - ",ROUND(E24*0.12,2))</f>
        <v>4,4 - 5,86</v>
      </c>
      <c r="J24" s="779"/>
      <c r="K24" s="766" t="s">
        <v>14</v>
      </c>
      <c r="L24" s="766"/>
      <c r="M24" s="79">
        <f>'прайс пром.2'!M24</f>
        <v>10.5</v>
      </c>
      <c r="N24" s="96">
        <v>513</v>
      </c>
    </row>
    <row r="25" spans="1:14" ht="55.5" customHeight="1" thickBot="1">
      <c r="A25" s="979">
        <f>'прайс пром.2'!A25</f>
        <v>8</v>
      </c>
      <c r="B25" s="771" t="s">
        <v>318</v>
      </c>
      <c r="C25" s="772"/>
      <c r="D25" s="54">
        <f>'прайс пром.2'!D25*(O4+1)</f>
        <v>78.930000000000007</v>
      </c>
      <c r="E25" s="54">
        <v>101.56</v>
      </c>
      <c r="F25" s="761" t="str">
        <f>'прайс пром.2'!F25</f>
        <v>6 лет (10 в отапливаемом помещении)</v>
      </c>
      <c r="G25" s="731">
        <f>'прайс пром.2'!G25</f>
        <v>120</v>
      </c>
      <c r="H25" s="733"/>
      <c r="I25" s="726">
        <f>E25*G25/1000</f>
        <v>12.19</v>
      </c>
      <c r="J25" s="728"/>
      <c r="K25" s="787">
        <v>37</v>
      </c>
      <c r="L25" s="787"/>
      <c r="M25" s="79">
        <f>'прайс пром.2'!M25</f>
        <v>4.5</v>
      </c>
      <c r="N25" s="96">
        <v>457</v>
      </c>
    </row>
    <row r="26" spans="1:14" ht="55.5" customHeight="1" thickBot="1">
      <c r="A26" s="981"/>
      <c r="B26" s="773"/>
      <c r="C26" s="774"/>
      <c r="D26" s="54">
        <f>'прайс пром.2'!D26*(O4+1)</f>
        <v>73.650000000000006</v>
      </c>
      <c r="E26" s="54">
        <v>94.8</v>
      </c>
      <c r="F26" s="1048"/>
      <c r="G26" s="800"/>
      <c r="H26" s="801"/>
      <c r="I26" s="726">
        <f>E26*G25/1000</f>
        <v>11.38</v>
      </c>
      <c r="J26" s="728"/>
      <c r="K26" s="787">
        <f>M26*1000/G25</f>
        <v>125</v>
      </c>
      <c r="L26" s="787"/>
      <c r="M26" s="79">
        <f>'прайс пром.2'!M26</f>
        <v>15</v>
      </c>
      <c r="N26" s="96">
        <v>1422</v>
      </c>
    </row>
    <row r="27" spans="1:14" ht="55.5" customHeight="1" thickBot="1">
      <c r="A27" s="979">
        <v>9</v>
      </c>
      <c r="B27" s="771" t="s">
        <v>290</v>
      </c>
      <c r="C27" s="772"/>
      <c r="D27" s="54">
        <f>'прайс пром.2'!D27*(O4+1)</f>
        <v>106.38</v>
      </c>
      <c r="E27" s="54">
        <v>137.06</v>
      </c>
      <c r="F27" s="761" t="str">
        <f>'прайс пром.2'!F27</f>
        <v>6 лет (10 в отапливаемом помещении)</v>
      </c>
      <c r="G27" s="731">
        <f>'прайс пром.2'!G27</f>
        <v>120</v>
      </c>
      <c r="H27" s="733"/>
      <c r="I27" s="726">
        <f>E27*G27/1000</f>
        <v>16.45</v>
      </c>
      <c r="J27" s="728"/>
      <c r="K27" s="787">
        <v>26</v>
      </c>
      <c r="L27" s="787"/>
      <c r="M27" s="79">
        <f>'прайс пром.2'!M27</f>
        <v>3.4</v>
      </c>
      <c r="N27" s="96">
        <v>466</v>
      </c>
    </row>
    <row r="28" spans="1:14" ht="55.5" customHeight="1" thickBot="1">
      <c r="A28" s="981"/>
      <c r="B28" s="773"/>
      <c r="C28" s="774"/>
      <c r="D28" s="54">
        <f>'прайс пром.2'!D28*(O4+1)</f>
        <v>99.23</v>
      </c>
      <c r="E28" s="54">
        <v>127.82</v>
      </c>
      <c r="F28" s="1048"/>
      <c r="G28" s="800"/>
      <c r="H28" s="801"/>
      <c r="I28" s="726">
        <f>E28*G27/1000</f>
        <v>15.34</v>
      </c>
      <c r="J28" s="728"/>
      <c r="K28" s="787">
        <v>83</v>
      </c>
      <c r="L28" s="787"/>
      <c r="M28" s="79">
        <f>'прайс пром.2'!M28</f>
        <v>11</v>
      </c>
      <c r="N28" s="96">
        <v>1406</v>
      </c>
    </row>
    <row r="29" spans="1:14" ht="33.75" customHeight="1">
      <c r="A29" s="1051" t="str">
        <f>'прайс пром.2'!A29</f>
        <v>Ссылки на таблицы ГЭСН, ТЭСН</v>
      </c>
      <c r="B29" s="1051"/>
      <c r="C29" s="1051"/>
      <c r="D29" s="49">
        <f>'прайс пром.2'!D29</f>
        <v>0</v>
      </c>
      <c r="E29" s="49"/>
      <c r="F29" s="45">
        <f>'прайс пром.2'!F29</f>
        <v>0</v>
      </c>
      <c r="G29" s="46">
        <f>'прайс пром.2'!G29</f>
        <v>0</v>
      </c>
      <c r="H29" s="46">
        <f>'прайс пром.2'!H29</f>
        <v>0</v>
      </c>
      <c r="I29" s="47"/>
      <c r="J29" s="47"/>
      <c r="K29" s="48"/>
      <c r="L29" s="48"/>
      <c r="M29" s="50">
        <f>'прайс пром.2'!M29</f>
        <v>0</v>
      </c>
      <c r="N29" s="51"/>
    </row>
    <row r="30" spans="1:14" ht="26.25" customHeight="1">
      <c r="A30" s="21" t="s">
        <v>210</v>
      </c>
      <c r="B30" s="43"/>
      <c r="C30" s="43"/>
    </row>
    <row r="31" spans="1:14" ht="25.5">
      <c r="A31" s="21" t="s">
        <v>211</v>
      </c>
      <c r="B31" s="7"/>
      <c r="C31" s="7"/>
      <c r="D31" s="1049"/>
      <c r="E31" s="1049"/>
      <c r="F31" s="1049"/>
      <c r="G31" s="1049"/>
      <c r="H31" s="1049"/>
      <c r="I31" s="1049"/>
      <c r="J31" s="1049"/>
      <c r="K31" s="1049"/>
      <c r="L31" s="1049"/>
      <c r="M31" s="43"/>
      <c r="N31" s="43"/>
    </row>
    <row r="32" spans="1:14" ht="25.5">
      <c r="A32" s="21" t="s">
        <v>212</v>
      </c>
      <c r="B32" s="7"/>
      <c r="C32" s="7"/>
      <c r="D32" s="683"/>
      <c r="E32" s="683"/>
      <c r="F32" s="683"/>
      <c r="G32" s="683"/>
      <c r="H32" s="683"/>
      <c r="I32" s="683"/>
      <c r="J32" s="683"/>
      <c r="K32" s="683"/>
      <c r="L32" s="683"/>
      <c r="M32" s="683"/>
      <c r="N32" s="148"/>
    </row>
    <row r="33" spans="1:14" ht="25.5">
      <c r="A33" s="21" t="s">
        <v>213</v>
      </c>
      <c r="B33" s="30"/>
      <c r="C33" s="30"/>
      <c r="D33" s="1050"/>
      <c r="E33" s="1050"/>
      <c r="F33" s="1050"/>
      <c r="G33" s="1050"/>
      <c r="H33" s="1050"/>
      <c r="I33" s="1050"/>
      <c r="J33" s="1050"/>
      <c r="K33" s="1050"/>
      <c r="L33" s="1050"/>
      <c r="M33" s="1050"/>
      <c r="N33" s="149"/>
    </row>
    <row r="34" spans="1:14" ht="25.5">
      <c r="A34" s="21" t="s">
        <v>214</v>
      </c>
      <c r="B34" s="30"/>
      <c r="C34" s="30"/>
      <c r="D34" s="1031"/>
      <c r="E34" s="1031"/>
      <c r="F34" s="1031"/>
      <c r="G34" s="1031"/>
      <c r="H34" s="1031"/>
      <c r="I34" s="1031"/>
      <c r="J34" s="1031"/>
      <c r="K34" s="1031"/>
      <c r="L34" s="1031"/>
      <c r="M34" s="1031"/>
      <c r="N34" s="8"/>
    </row>
    <row r="35" spans="1:14" ht="25.5">
      <c r="A35" s="30"/>
      <c r="B35" s="30"/>
      <c r="C35" s="30"/>
      <c r="D35" s="7"/>
      <c r="E35" s="30"/>
      <c r="F35" s="7"/>
      <c r="G35" s="7"/>
      <c r="H35" s="7"/>
      <c r="I35" s="7"/>
      <c r="J35" s="7"/>
      <c r="K35" s="7"/>
      <c r="L35" s="7"/>
      <c r="M35" s="7"/>
      <c r="N35" s="7"/>
    </row>
  </sheetData>
  <sheetProtection selectLockedCells="1"/>
  <mergeCells count="85">
    <mergeCell ref="K20:L20"/>
    <mergeCell ref="I21:J21"/>
    <mergeCell ref="K21:L21"/>
    <mergeCell ref="A20:A21"/>
    <mergeCell ref="B20:B21"/>
    <mergeCell ref="C20:C21"/>
    <mergeCell ref="A10:N10"/>
    <mergeCell ref="B16:C16"/>
    <mergeCell ref="G16:H16"/>
    <mergeCell ref="I16:J16"/>
    <mergeCell ref="K16:L16"/>
    <mergeCell ref="B11:C11"/>
    <mergeCell ref="A15:N15"/>
    <mergeCell ref="K17:L17"/>
    <mergeCell ref="I18:J18"/>
    <mergeCell ref="K18:L18"/>
    <mergeCell ref="A17:A19"/>
    <mergeCell ref="B17:B19"/>
    <mergeCell ref="C17:C19"/>
    <mergeCell ref="A3:N3"/>
    <mergeCell ref="A5:N5"/>
    <mergeCell ref="B6:C6"/>
    <mergeCell ref="G6:I6"/>
    <mergeCell ref="A4:C4"/>
    <mergeCell ref="E4:F4"/>
    <mergeCell ref="J6:L6"/>
    <mergeCell ref="K23:L23"/>
    <mergeCell ref="K25:L25"/>
    <mergeCell ref="I25:J25"/>
    <mergeCell ref="J11:L11"/>
    <mergeCell ref="B25:C26"/>
    <mergeCell ref="I26:J26"/>
    <mergeCell ref="G22:H22"/>
    <mergeCell ref="I24:J24"/>
    <mergeCell ref="F23:F24"/>
    <mergeCell ref="G23:H24"/>
    <mergeCell ref="F17:F19"/>
    <mergeCell ref="F20:F21"/>
    <mergeCell ref="G17:H19"/>
    <mergeCell ref="I19:J19"/>
    <mergeCell ref="K19:L19"/>
    <mergeCell ref="G20:H21"/>
    <mergeCell ref="C1:N2"/>
    <mergeCell ref="D31:L31"/>
    <mergeCell ref="D34:M34"/>
    <mergeCell ref="L32:M32"/>
    <mergeCell ref="D32:E32"/>
    <mergeCell ref="D33:E33"/>
    <mergeCell ref="F32:G32"/>
    <mergeCell ref="L33:M33"/>
    <mergeCell ref="H33:K33"/>
    <mergeCell ref="K26:L26"/>
    <mergeCell ref="K22:L22"/>
    <mergeCell ref="F33:G33"/>
    <mergeCell ref="K24:L24"/>
    <mergeCell ref="A29:C29"/>
    <mergeCell ref="H32:K32"/>
    <mergeCell ref="I22:J22"/>
    <mergeCell ref="K27:L27"/>
    <mergeCell ref="K28:L28"/>
    <mergeCell ref="I27:J27"/>
    <mergeCell ref="A27:A28"/>
    <mergeCell ref="A25:A26"/>
    <mergeCell ref="F27:F28"/>
    <mergeCell ref="I28:J28"/>
    <mergeCell ref="F25:F26"/>
    <mergeCell ref="G27:H28"/>
    <mergeCell ref="G25:H26"/>
    <mergeCell ref="B27:C28"/>
    <mergeCell ref="J7:L7"/>
    <mergeCell ref="J9:L9"/>
    <mergeCell ref="J8:L8"/>
    <mergeCell ref="B7:C7"/>
    <mergeCell ref="G7:I7"/>
    <mergeCell ref="B9:C9"/>
    <mergeCell ref="G9:I9"/>
    <mergeCell ref="B8:C8"/>
    <mergeCell ref="G8:I8"/>
    <mergeCell ref="A23:A24"/>
    <mergeCell ref="B23:C24"/>
    <mergeCell ref="G11:I11"/>
    <mergeCell ref="B22:C22"/>
    <mergeCell ref="I23:J23"/>
    <mergeCell ref="I17:J17"/>
    <mergeCell ref="I20:J20"/>
  </mergeCells>
  <phoneticPr fontId="2" type="noConversion"/>
  <pageMargins left="0.62992125984251968" right="0.19685039370078741" top="0.15748031496062992" bottom="0.19685039370078741" header="0.51181102362204722" footer="0.51181102362204722"/>
  <pageSetup paperSize="9" scale="29" orientation="landscape" r:id="rId1"/>
  <headerFooter alignWithMargins="0"/>
  <ignoredErrors>
    <ignoredError sqref="K20" twoDigitTextYea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L92"/>
  <sheetViews>
    <sheetView view="pageBreakPreview" zoomScale="90" zoomScaleNormal="100" zoomScaleSheetLayoutView="90" workbookViewId="0">
      <selection activeCell="C27" sqref="C27:G29"/>
    </sheetView>
  </sheetViews>
  <sheetFormatPr defaultRowHeight="12.75"/>
  <cols>
    <col min="1" max="1" width="2.42578125" customWidth="1"/>
    <col min="2" max="2" width="3.28515625" customWidth="1"/>
    <col min="3" max="3" width="8.5703125" customWidth="1"/>
    <col min="4" max="6" width="18.85546875" customWidth="1"/>
    <col min="7" max="7" width="30.7109375" customWidth="1"/>
    <col min="8" max="8" width="15.42578125" hidden="1" customWidth="1"/>
    <col min="9" max="9" width="17" customWidth="1"/>
    <col min="10" max="10" width="16.140625" hidden="1" customWidth="1"/>
    <col min="11" max="11" width="15.7109375" customWidth="1"/>
    <col min="12" max="12" width="9.42578125" hidden="1" customWidth="1"/>
  </cols>
  <sheetData>
    <row r="1" spans="1:12" ht="13.5" customHeight="1">
      <c r="A1" s="71"/>
      <c r="B1" s="72"/>
      <c r="C1" s="73"/>
      <c r="D1" s="821" t="s">
        <v>69</v>
      </c>
      <c r="E1" s="821"/>
      <c r="F1" s="821"/>
      <c r="G1" s="821"/>
      <c r="H1" s="821"/>
      <c r="I1" s="821"/>
      <c r="J1" s="821"/>
      <c r="K1" s="821"/>
      <c r="L1" t="s">
        <v>64</v>
      </c>
    </row>
    <row r="2" spans="1:12" ht="10.5" customHeight="1">
      <c r="A2" s="71"/>
      <c r="B2" s="73"/>
      <c r="C2" s="73"/>
      <c r="D2" s="821" t="s">
        <v>95</v>
      </c>
      <c r="E2" s="821"/>
      <c r="F2" s="821"/>
      <c r="G2" s="821"/>
      <c r="H2" s="821"/>
      <c r="I2" s="821"/>
      <c r="J2" s="821"/>
      <c r="K2" s="821"/>
      <c r="L2" s="1080">
        <v>0.2</v>
      </c>
    </row>
    <row r="3" spans="1:12" ht="12" customHeight="1">
      <c r="A3" s="71"/>
      <c r="B3" s="73"/>
      <c r="C3" s="73"/>
      <c r="D3" s="821" t="s">
        <v>91</v>
      </c>
      <c r="E3" s="821"/>
      <c r="F3" s="821"/>
      <c r="G3" s="821"/>
      <c r="H3" s="821"/>
      <c r="I3" s="821"/>
      <c r="J3" s="821"/>
      <c r="K3" s="821"/>
      <c r="L3" s="1080"/>
    </row>
    <row r="4" spans="1:12" ht="15.75" customHeight="1">
      <c r="A4" s="71"/>
      <c r="B4" s="822" t="s">
        <v>180</v>
      </c>
      <c r="C4" s="823"/>
      <c r="D4" s="823"/>
      <c r="E4" s="823"/>
      <c r="F4" s="823"/>
      <c r="G4" s="823"/>
      <c r="H4" s="823"/>
      <c r="I4" s="823"/>
      <c r="J4" s="823"/>
      <c r="K4" s="823"/>
    </row>
    <row r="5" spans="1:12" ht="12" customHeight="1">
      <c r="A5" s="71"/>
      <c r="B5" s="823"/>
      <c r="C5" s="823"/>
      <c r="D5" s="823"/>
      <c r="E5" s="823"/>
      <c r="F5" s="823"/>
      <c r="G5" s="823"/>
      <c r="H5" s="823"/>
      <c r="I5" s="823"/>
      <c r="J5" s="823"/>
      <c r="K5" s="823"/>
    </row>
    <row r="6" spans="1:12" ht="6" customHeight="1">
      <c r="A6" s="71"/>
      <c r="B6" s="823"/>
      <c r="C6" s="823"/>
      <c r="D6" s="823"/>
      <c r="E6" s="823"/>
      <c r="F6" s="823"/>
      <c r="G6" s="823"/>
      <c r="H6" s="823"/>
      <c r="I6" s="823"/>
      <c r="J6" s="823"/>
      <c r="K6" s="823"/>
    </row>
    <row r="7" spans="1:12" ht="13.5" customHeight="1" thickBot="1">
      <c r="B7" s="90" t="str">
        <f>'прайс быт.'!B7</f>
        <v>Действует с 15.04.2014г.</v>
      </c>
      <c r="C7" s="42"/>
      <c r="D7" s="42"/>
      <c r="E7" s="42"/>
      <c r="F7" s="139" t="s">
        <v>68</v>
      </c>
      <c r="G7" s="139"/>
      <c r="H7" s="90"/>
      <c r="I7" s="90"/>
      <c r="J7" s="90"/>
      <c r="K7" s="259"/>
    </row>
    <row r="8" spans="1:12" s="3" customFormat="1" ht="63.75" customHeight="1" thickBot="1">
      <c r="B8" s="74" t="s">
        <v>0</v>
      </c>
      <c r="C8" s="824" t="s">
        <v>55</v>
      </c>
      <c r="D8" s="825"/>
      <c r="E8" s="825"/>
      <c r="F8" s="825"/>
      <c r="G8" s="826"/>
      <c r="H8" s="80"/>
      <c r="I8" s="75" t="s">
        <v>56</v>
      </c>
      <c r="J8" s="75" t="s">
        <v>58</v>
      </c>
      <c r="K8" s="75" t="s">
        <v>58</v>
      </c>
    </row>
    <row r="9" spans="1:12" s="3" customFormat="1" ht="22.5" customHeight="1" thickBot="1">
      <c r="B9" s="232"/>
      <c r="C9" s="819" t="s">
        <v>172</v>
      </c>
      <c r="D9" s="820"/>
      <c r="E9" s="820"/>
      <c r="F9" s="820"/>
      <c r="G9" s="820"/>
      <c r="H9" s="257"/>
      <c r="I9" s="260" t="s">
        <v>61</v>
      </c>
      <c r="J9" s="207"/>
      <c r="K9" s="261"/>
    </row>
    <row r="10" spans="1:12" s="3" customFormat="1" ht="21.75" customHeight="1">
      <c r="B10" s="849">
        <v>1</v>
      </c>
      <c r="C10" s="850" t="s">
        <v>261</v>
      </c>
      <c r="D10" s="851"/>
      <c r="E10" s="851"/>
      <c r="F10" s="851"/>
      <c r="G10" s="852"/>
      <c r="H10" s="202">
        <v>22</v>
      </c>
      <c r="I10" s="203" t="s">
        <v>158</v>
      </c>
      <c r="J10" s="81">
        <v>2988</v>
      </c>
      <c r="K10" s="267">
        <v>3586</v>
      </c>
    </row>
    <row r="11" spans="1:12" s="3" customFormat="1" ht="21.75" hidden="1" customHeight="1">
      <c r="B11" s="807"/>
      <c r="C11" s="853"/>
      <c r="D11" s="854"/>
      <c r="E11" s="854"/>
      <c r="F11" s="854"/>
      <c r="G11" s="855"/>
      <c r="H11" s="240">
        <v>10</v>
      </c>
      <c r="I11" s="204" t="s">
        <v>167</v>
      </c>
      <c r="J11" s="83">
        <v>1463</v>
      </c>
      <c r="K11" s="268">
        <v>1756</v>
      </c>
    </row>
    <row r="12" spans="1:12" s="3" customFormat="1" ht="21.75" customHeight="1">
      <c r="B12" s="807"/>
      <c r="C12" s="853"/>
      <c r="D12" s="854"/>
      <c r="E12" s="854"/>
      <c r="F12" s="854"/>
      <c r="G12" s="855"/>
      <c r="H12" s="240">
        <v>3.2</v>
      </c>
      <c r="I12" s="204" t="s">
        <v>168</v>
      </c>
      <c r="J12" s="83">
        <v>492</v>
      </c>
      <c r="K12" s="268">
        <v>591</v>
      </c>
    </row>
    <row r="13" spans="1:12" s="3" customFormat="1" ht="21.75" customHeight="1">
      <c r="B13" s="808"/>
      <c r="C13" s="1077"/>
      <c r="D13" s="1078"/>
      <c r="E13" s="1078"/>
      <c r="F13" s="1078"/>
      <c r="G13" s="1079"/>
      <c r="H13" s="240">
        <v>1</v>
      </c>
      <c r="I13" s="204" t="s">
        <v>169</v>
      </c>
      <c r="J13" s="83">
        <v>162</v>
      </c>
      <c r="K13" s="268">
        <v>195</v>
      </c>
    </row>
    <row r="14" spans="1:12" ht="21.75" customHeight="1">
      <c r="B14" s="806">
        <v>2</v>
      </c>
      <c r="C14" s="809" t="s">
        <v>319</v>
      </c>
      <c r="D14" s="810"/>
      <c r="E14" s="810"/>
      <c r="F14" s="810"/>
      <c r="G14" s="811"/>
      <c r="H14" s="240">
        <v>26</v>
      </c>
      <c r="I14" s="204" t="s">
        <v>159</v>
      </c>
      <c r="J14" s="83">
        <v>3617</v>
      </c>
      <c r="K14" s="268">
        <v>4340</v>
      </c>
    </row>
    <row r="15" spans="1:12" ht="21.75" hidden="1" customHeight="1">
      <c r="B15" s="807"/>
      <c r="C15" s="812"/>
      <c r="D15" s="813"/>
      <c r="E15" s="813"/>
      <c r="F15" s="813"/>
      <c r="G15" s="814"/>
      <c r="H15" s="240">
        <v>11</v>
      </c>
      <c r="I15" s="204" t="s">
        <v>135</v>
      </c>
      <c r="J15" s="83">
        <v>1615</v>
      </c>
      <c r="K15" s="268">
        <v>1938</v>
      </c>
    </row>
    <row r="16" spans="1:12" ht="29.25" customHeight="1">
      <c r="B16" s="807"/>
      <c r="C16" s="812"/>
      <c r="D16" s="813"/>
      <c r="E16" s="813"/>
      <c r="F16" s="813"/>
      <c r="G16" s="814"/>
      <c r="H16" s="240">
        <v>3.5</v>
      </c>
      <c r="I16" s="204" t="s">
        <v>170</v>
      </c>
      <c r="J16" s="83">
        <v>558</v>
      </c>
      <c r="K16" s="268">
        <v>670</v>
      </c>
    </row>
    <row r="17" spans="1:11" ht="27.75" customHeight="1">
      <c r="B17" s="808"/>
      <c r="C17" s="815"/>
      <c r="D17" s="816"/>
      <c r="E17" s="816"/>
      <c r="F17" s="816"/>
      <c r="G17" s="817"/>
      <c r="H17" s="211">
        <v>1.1000000000000001</v>
      </c>
      <c r="I17" s="204" t="s">
        <v>171</v>
      </c>
      <c r="J17" s="83">
        <v>188</v>
      </c>
      <c r="K17" s="268">
        <v>226</v>
      </c>
    </row>
    <row r="18" spans="1:11" ht="21.75" customHeight="1">
      <c r="B18" s="806">
        <v>3</v>
      </c>
      <c r="C18" s="809" t="s">
        <v>177</v>
      </c>
      <c r="D18" s="810"/>
      <c r="E18" s="810"/>
      <c r="F18" s="810"/>
      <c r="G18" s="811"/>
      <c r="H18" s="240">
        <v>26</v>
      </c>
      <c r="I18" s="204" t="s">
        <v>159</v>
      </c>
      <c r="J18" s="83">
        <v>4218</v>
      </c>
      <c r="K18" s="268">
        <v>5062</v>
      </c>
    </row>
    <row r="19" spans="1:11" ht="21.75" hidden="1" customHeight="1">
      <c r="B19" s="807"/>
      <c r="C19" s="812"/>
      <c r="D19" s="813"/>
      <c r="E19" s="813"/>
      <c r="F19" s="813"/>
      <c r="G19" s="814"/>
      <c r="H19" s="240">
        <v>11</v>
      </c>
      <c r="I19" s="204" t="s">
        <v>135</v>
      </c>
      <c r="J19" s="83">
        <v>1881</v>
      </c>
      <c r="K19" s="268">
        <v>2258</v>
      </c>
    </row>
    <row r="20" spans="1:11" ht="21.75" customHeight="1">
      <c r="B20" s="807"/>
      <c r="C20" s="812"/>
      <c r="D20" s="813"/>
      <c r="E20" s="813"/>
      <c r="F20" s="813"/>
      <c r="G20" s="814"/>
      <c r="H20" s="211">
        <v>3.5</v>
      </c>
      <c r="I20" s="204" t="s">
        <v>170</v>
      </c>
      <c r="J20" s="83">
        <v>651</v>
      </c>
      <c r="K20" s="268">
        <v>782</v>
      </c>
    </row>
    <row r="21" spans="1:11" ht="21.75" customHeight="1">
      <c r="B21" s="808"/>
      <c r="C21" s="815"/>
      <c r="D21" s="816"/>
      <c r="E21" s="816"/>
      <c r="F21" s="816"/>
      <c r="G21" s="817"/>
      <c r="H21" s="211">
        <v>1.1000000000000001</v>
      </c>
      <c r="I21" s="204" t="s">
        <v>171</v>
      </c>
      <c r="J21" s="83">
        <v>219</v>
      </c>
      <c r="K21" s="268">
        <v>263</v>
      </c>
    </row>
    <row r="22" spans="1:11" ht="21.75" customHeight="1">
      <c r="B22" s="806">
        <v>4</v>
      </c>
      <c r="C22" s="809" t="s">
        <v>255</v>
      </c>
      <c r="D22" s="810"/>
      <c r="E22" s="810"/>
      <c r="F22" s="810"/>
      <c r="G22" s="811"/>
      <c r="H22" s="240">
        <v>24</v>
      </c>
      <c r="I22" s="204" t="s">
        <v>160</v>
      </c>
      <c r="J22" s="83">
        <v>4665</v>
      </c>
      <c r="K22" s="268">
        <v>5598</v>
      </c>
    </row>
    <row r="23" spans="1:11" ht="21.75" hidden="1" customHeight="1">
      <c r="B23" s="807"/>
      <c r="C23" s="812"/>
      <c r="D23" s="813"/>
      <c r="E23" s="813"/>
      <c r="F23" s="813"/>
      <c r="G23" s="814"/>
      <c r="H23" s="240">
        <v>11</v>
      </c>
      <c r="I23" s="204" t="s">
        <v>135</v>
      </c>
      <c r="J23" s="83">
        <v>2299</v>
      </c>
      <c r="K23" s="268">
        <v>2759</v>
      </c>
    </row>
    <row r="24" spans="1:11" ht="31.5" customHeight="1">
      <c r="B24" s="807"/>
      <c r="C24" s="812"/>
      <c r="D24" s="813"/>
      <c r="E24" s="813"/>
      <c r="F24" s="813"/>
      <c r="G24" s="814"/>
      <c r="H24" s="211">
        <v>3.5</v>
      </c>
      <c r="I24" s="204" t="s">
        <v>170</v>
      </c>
      <c r="J24" s="83">
        <v>783</v>
      </c>
      <c r="K24" s="268">
        <v>940</v>
      </c>
    </row>
    <row r="25" spans="1:11" ht="29.25" customHeight="1" thickBot="1">
      <c r="B25" s="807"/>
      <c r="C25" s="812"/>
      <c r="D25" s="813"/>
      <c r="E25" s="813"/>
      <c r="F25" s="813"/>
      <c r="G25" s="814"/>
      <c r="H25" s="254">
        <v>1.1000000000000001</v>
      </c>
      <c r="I25" s="223" t="s">
        <v>171</v>
      </c>
      <c r="J25" s="85">
        <v>271</v>
      </c>
      <c r="K25" s="269">
        <v>325</v>
      </c>
    </row>
    <row r="26" spans="1:11" ht="21.75" customHeight="1" thickBot="1">
      <c r="B26" s="804" t="s">
        <v>173</v>
      </c>
      <c r="C26" s="805"/>
      <c r="D26" s="805"/>
      <c r="E26" s="805"/>
      <c r="F26" s="805"/>
      <c r="G26" s="805"/>
      <c r="H26" s="166"/>
      <c r="I26" s="1074" t="s">
        <v>182</v>
      </c>
      <c r="J26" s="1075"/>
      <c r="K26" s="1076"/>
    </row>
    <row r="27" spans="1:11" ht="21.75" customHeight="1">
      <c r="B27" s="807">
        <v>5</v>
      </c>
      <c r="C27" s="812" t="s">
        <v>97</v>
      </c>
      <c r="D27" s="813"/>
      <c r="E27" s="813"/>
      <c r="F27" s="813"/>
      <c r="G27" s="814"/>
      <c r="H27" s="241">
        <v>21</v>
      </c>
      <c r="I27" s="203" t="s">
        <v>161</v>
      </c>
      <c r="J27" s="81">
        <v>1893</v>
      </c>
      <c r="K27" s="267">
        <v>2272</v>
      </c>
    </row>
    <row r="28" spans="1:11" ht="21.75" customHeight="1">
      <c r="A28" s="1"/>
      <c r="B28" s="807"/>
      <c r="C28" s="812"/>
      <c r="D28" s="813"/>
      <c r="E28" s="813"/>
      <c r="F28" s="813"/>
      <c r="G28" s="814"/>
      <c r="H28" s="208">
        <v>2.7</v>
      </c>
      <c r="I28" s="210" t="s">
        <v>139</v>
      </c>
      <c r="J28" s="83">
        <v>279</v>
      </c>
      <c r="K28" s="268">
        <v>335</v>
      </c>
    </row>
    <row r="29" spans="1:11" ht="21.75" customHeight="1">
      <c r="B29" s="808"/>
      <c r="C29" s="815"/>
      <c r="D29" s="816"/>
      <c r="E29" s="816"/>
      <c r="F29" s="816"/>
      <c r="G29" s="817"/>
      <c r="H29" s="208">
        <v>0.95</v>
      </c>
      <c r="I29" s="210" t="s">
        <v>140</v>
      </c>
      <c r="J29" s="83">
        <v>105</v>
      </c>
      <c r="K29" s="268">
        <v>126</v>
      </c>
    </row>
    <row r="30" spans="1:11" ht="21.75" customHeight="1">
      <c r="B30" s="806">
        <v>6</v>
      </c>
      <c r="C30" s="809" t="s">
        <v>123</v>
      </c>
      <c r="D30" s="810"/>
      <c r="E30" s="810"/>
      <c r="F30" s="810"/>
      <c r="G30" s="811"/>
      <c r="H30" s="208">
        <v>21</v>
      </c>
      <c r="I30" s="204" t="s">
        <v>161</v>
      </c>
      <c r="J30" s="83">
        <v>1893</v>
      </c>
      <c r="K30" s="268">
        <v>2272</v>
      </c>
    </row>
    <row r="31" spans="1:11" ht="21.75" customHeight="1">
      <c r="B31" s="807"/>
      <c r="C31" s="812"/>
      <c r="D31" s="813"/>
      <c r="E31" s="813"/>
      <c r="F31" s="813"/>
      <c r="G31" s="814"/>
      <c r="H31" s="208">
        <v>2.7</v>
      </c>
      <c r="I31" s="210" t="s">
        <v>139</v>
      </c>
      <c r="J31" s="83">
        <v>279</v>
      </c>
      <c r="K31" s="268">
        <v>335</v>
      </c>
    </row>
    <row r="32" spans="1:11" ht="21.75" customHeight="1">
      <c r="B32" s="808"/>
      <c r="C32" s="815"/>
      <c r="D32" s="816"/>
      <c r="E32" s="816"/>
      <c r="F32" s="816"/>
      <c r="G32" s="817"/>
      <c r="H32" s="208">
        <v>0.95</v>
      </c>
      <c r="I32" s="210" t="s">
        <v>140</v>
      </c>
      <c r="J32" s="83">
        <v>105</v>
      </c>
      <c r="K32" s="268">
        <v>126</v>
      </c>
    </row>
    <row r="33" spans="2:11" ht="21.75" customHeight="1">
      <c r="B33" s="806">
        <v>7</v>
      </c>
      <c r="C33" s="809" t="s">
        <v>124</v>
      </c>
      <c r="D33" s="810"/>
      <c r="E33" s="810"/>
      <c r="F33" s="810"/>
      <c r="G33" s="811"/>
      <c r="H33" s="208">
        <v>20</v>
      </c>
      <c r="I33" s="204" t="s">
        <v>162</v>
      </c>
      <c r="J33" s="83">
        <v>3126</v>
      </c>
      <c r="K33" s="268">
        <v>3751</v>
      </c>
    </row>
    <row r="34" spans="2:11" ht="21.75" customHeight="1">
      <c r="B34" s="807"/>
      <c r="C34" s="812"/>
      <c r="D34" s="813"/>
      <c r="E34" s="813"/>
      <c r="F34" s="813"/>
      <c r="G34" s="814"/>
      <c r="H34" s="208">
        <v>2.6</v>
      </c>
      <c r="I34" s="210" t="s">
        <v>128</v>
      </c>
      <c r="J34" s="83">
        <v>466</v>
      </c>
      <c r="K34" s="268">
        <v>559</v>
      </c>
    </row>
    <row r="35" spans="2:11" ht="21.75" customHeight="1">
      <c r="B35" s="808"/>
      <c r="C35" s="815"/>
      <c r="D35" s="816"/>
      <c r="E35" s="816"/>
      <c r="F35" s="816"/>
      <c r="G35" s="817"/>
      <c r="H35" s="209">
        <v>0.9</v>
      </c>
      <c r="I35" s="204" t="s">
        <v>129</v>
      </c>
      <c r="J35" s="83">
        <v>173</v>
      </c>
      <c r="K35" s="268">
        <v>208</v>
      </c>
    </row>
    <row r="36" spans="2:11" ht="21.75" customHeight="1">
      <c r="B36" s="806">
        <v>8</v>
      </c>
      <c r="C36" s="809" t="s">
        <v>125</v>
      </c>
      <c r="D36" s="810"/>
      <c r="E36" s="810"/>
      <c r="F36" s="810"/>
      <c r="G36" s="811"/>
      <c r="H36" s="208">
        <v>20</v>
      </c>
      <c r="I36" s="204" t="s">
        <v>162</v>
      </c>
      <c r="J36" s="83">
        <v>3126</v>
      </c>
      <c r="K36" s="268">
        <v>3751</v>
      </c>
    </row>
    <row r="37" spans="2:11" ht="21.75" customHeight="1">
      <c r="B37" s="807"/>
      <c r="C37" s="812"/>
      <c r="D37" s="813"/>
      <c r="E37" s="813"/>
      <c r="F37" s="813"/>
      <c r="G37" s="814"/>
      <c r="H37" s="208">
        <v>2.6</v>
      </c>
      <c r="I37" s="204" t="s">
        <v>128</v>
      </c>
      <c r="J37" s="83">
        <v>466</v>
      </c>
      <c r="K37" s="268">
        <v>559</v>
      </c>
    </row>
    <row r="38" spans="2:11" ht="21.75" customHeight="1" thickBot="1">
      <c r="B38" s="862"/>
      <c r="C38" s="863"/>
      <c r="D38" s="864"/>
      <c r="E38" s="864"/>
      <c r="F38" s="864"/>
      <c r="G38" s="865"/>
      <c r="H38" s="208">
        <v>0.9</v>
      </c>
      <c r="I38" s="223" t="s">
        <v>129</v>
      </c>
      <c r="J38" s="85">
        <v>173</v>
      </c>
      <c r="K38" s="269">
        <v>208</v>
      </c>
    </row>
    <row r="39" spans="2:11" ht="27" customHeight="1" thickBot="1">
      <c r="B39" s="161"/>
      <c r="C39" s="861" t="s">
        <v>60</v>
      </c>
      <c r="D39" s="861"/>
      <c r="E39" s="861"/>
      <c r="F39" s="861"/>
      <c r="G39" s="861"/>
      <c r="H39" s="164"/>
      <c r="I39" s="1071" t="s">
        <v>181</v>
      </c>
      <c r="J39" s="1072"/>
      <c r="K39" s="1073"/>
    </row>
    <row r="40" spans="2:11" ht="23.25" customHeight="1">
      <c r="B40" s="856">
        <v>9</v>
      </c>
      <c r="C40" s="164"/>
      <c r="D40" s="857" t="s">
        <v>201</v>
      </c>
      <c r="E40" s="857"/>
      <c r="F40" s="857"/>
      <c r="G40" s="857"/>
      <c r="H40" s="325">
        <v>11</v>
      </c>
      <c r="I40" s="203" t="s">
        <v>138</v>
      </c>
      <c r="J40" s="81">
        <v>1241</v>
      </c>
      <c r="K40" s="267">
        <v>1663</v>
      </c>
    </row>
    <row r="41" spans="2:11" ht="23.25" customHeight="1">
      <c r="B41" s="837"/>
      <c r="C41" s="258"/>
      <c r="D41" s="859"/>
      <c r="E41" s="859"/>
      <c r="F41" s="859"/>
      <c r="G41" s="859"/>
      <c r="H41" s="326">
        <v>3.3</v>
      </c>
      <c r="I41" s="204" t="s">
        <v>137</v>
      </c>
      <c r="J41" s="83">
        <v>409</v>
      </c>
      <c r="K41" s="268">
        <v>548</v>
      </c>
    </row>
    <row r="42" spans="2:11" ht="42.75" customHeight="1" thickBot="1">
      <c r="B42" s="837"/>
      <c r="C42" s="258"/>
      <c r="D42" s="859"/>
      <c r="E42" s="859"/>
      <c r="F42" s="859"/>
      <c r="G42" s="859"/>
      <c r="H42" s="326">
        <v>0.95</v>
      </c>
      <c r="I42" s="204" t="s">
        <v>136</v>
      </c>
      <c r="J42" s="83">
        <v>126</v>
      </c>
      <c r="K42" s="268">
        <v>170</v>
      </c>
    </row>
    <row r="43" spans="2:11" ht="33" customHeight="1">
      <c r="B43" s="856">
        <v>10</v>
      </c>
      <c r="C43" s="164"/>
      <c r="D43" s="857" t="s">
        <v>200</v>
      </c>
      <c r="E43" s="857"/>
      <c r="F43" s="857"/>
      <c r="G43" s="857"/>
      <c r="H43" s="326">
        <v>2.7</v>
      </c>
      <c r="I43" s="204" t="s">
        <v>142</v>
      </c>
      <c r="J43" s="83">
        <v>343</v>
      </c>
      <c r="K43" s="268">
        <v>480</v>
      </c>
    </row>
    <row r="44" spans="2:11" ht="49.5" customHeight="1" thickBot="1">
      <c r="B44" s="837"/>
      <c r="C44" s="258"/>
      <c r="D44" s="859"/>
      <c r="E44" s="859"/>
      <c r="F44" s="859"/>
      <c r="G44" s="859"/>
      <c r="H44" s="327">
        <v>0.9</v>
      </c>
      <c r="I44" s="223" t="s">
        <v>141</v>
      </c>
      <c r="J44" s="85">
        <v>126</v>
      </c>
      <c r="K44" s="269">
        <v>176</v>
      </c>
    </row>
    <row r="45" spans="2:11" ht="17.25" customHeight="1" thickBot="1">
      <c r="B45" s="835"/>
      <c r="C45" s="836"/>
      <c r="D45" s="836"/>
      <c r="E45" s="836"/>
      <c r="F45" s="836"/>
      <c r="G45" s="836"/>
      <c r="H45" s="245"/>
      <c r="I45" s="1068" t="s">
        <v>183</v>
      </c>
      <c r="J45" s="1069"/>
      <c r="K45" s="1070"/>
    </row>
    <row r="46" spans="2:11" ht="30.75" customHeight="1">
      <c r="B46" s="837">
        <v>11</v>
      </c>
      <c r="C46" s="839" t="s">
        <v>89</v>
      </c>
      <c r="D46" s="840"/>
      <c r="E46" s="840"/>
      <c r="F46" s="840"/>
      <c r="G46" s="840"/>
      <c r="H46" s="325">
        <v>10.5</v>
      </c>
      <c r="I46" s="203" t="s">
        <v>131</v>
      </c>
      <c r="J46" s="81">
        <v>427</v>
      </c>
      <c r="K46" s="267">
        <v>513</v>
      </c>
    </row>
    <row r="47" spans="2:11" ht="38.25" customHeight="1">
      <c r="B47" s="838"/>
      <c r="C47" s="842"/>
      <c r="D47" s="843"/>
      <c r="E47" s="843"/>
      <c r="F47" s="843"/>
      <c r="G47" s="843"/>
      <c r="H47" s="326">
        <v>3.3</v>
      </c>
      <c r="I47" s="204" t="s">
        <v>130</v>
      </c>
      <c r="J47" s="83">
        <v>144</v>
      </c>
      <c r="K47" s="268">
        <v>173</v>
      </c>
    </row>
    <row r="48" spans="2:11" ht="30.75" customHeight="1">
      <c r="B48" s="845">
        <v>12</v>
      </c>
      <c r="C48" s="829" t="s">
        <v>121</v>
      </c>
      <c r="D48" s="830"/>
      <c r="E48" s="830"/>
      <c r="F48" s="830"/>
      <c r="G48" s="830"/>
      <c r="H48" s="326">
        <v>15</v>
      </c>
      <c r="I48" s="204" t="s">
        <v>133</v>
      </c>
      <c r="J48" s="83">
        <v>1185</v>
      </c>
      <c r="K48" s="268">
        <v>1422</v>
      </c>
    </row>
    <row r="49" spans="2:11" ht="46.5" customHeight="1">
      <c r="B49" s="838"/>
      <c r="C49" s="846"/>
      <c r="D49" s="847"/>
      <c r="E49" s="847"/>
      <c r="F49" s="847"/>
      <c r="G49" s="847"/>
      <c r="H49" s="326">
        <v>4.5</v>
      </c>
      <c r="I49" s="204" t="s">
        <v>132</v>
      </c>
      <c r="J49" s="83">
        <v>381</v>
      </c>
      <c r="K49" s="268">
        <v>457</v>
      </c>
    </row>
    <row r="50" spans="2:11" ht="30.75" customHeight="1">
      <c r="B50" s="827">
        <v>13</v>
      </c>
      <c r="C50" s="829" t="s">
        <v>291</v>
      </c>
      <c r="D50" s="830"/>
      <c r="E50" s="830"/>
      <c r="F50" s="830"/>
      <c r="G50" s="830"/>
      <c r="H50" s="326">
        <v>11</v>
      </c>
      <c r="I50" s="204" t="s">
        <v>135</v>
      </c>
      <c r="J50" s="83">
        <v>1171</v>
      </c>
      <c r="K50" s="268">
        <v>1406</v>
      </c>
    </row>
    <row r="51" spans="2:11" ht="45.75" customHeight="1" thickBot="1">
      <c r="B51" s="828"/>
      <c r="C51" s="832"/>
      <c r="D51" s="833"/>
      <c r="E51" s="833"/>
      <c r="F51" s="833"/>
      <c r="G51" s="833"/>
      <c r="H51" s="327">
        <v>3.4</v>
      </c>
      <c r="I51" s="223" t="s">
        <v>134</v>
      </c>
      <c r="J51" s="85">
        <v>388</v>
      </c>
      <c r="K51" s="269">
        <v>466</v>
      </c>
    </row>
    <row r="52" spans="2:11">
      <c r="B52" s="71"/>
      <c r="C52" s="71"/>
      <c r="D52" s="71"/>
      <c r="E52" s="71"/>
      <c r="F52" s="71"/>
      <c r="G52" s="71"/>
      <c r="H52" s="71"/>
      <c r="I52" s="71"/>
      <c r="J52" s="71"/>
      <c r="K52" s="71"/>
    </row>
    <row r="53" spans="2:11">
      <c r="B53" s="71"/>
      <c r="C53" s="71"/>
      <c r="D53" s="71"/>
      <c r="E53" s="71"/>
      <c r="F53" s="71"/>
      <c r="G53" s="71"/>
      <c r="H53" s="71"/>
      <c r="I53" s="71"/>
      <c r="J53" s="71"/>
      <c r="K53" s="71"/>
    </row>
    <row r="54" spans="2:11">
      <c r="B54" s="71"/>
      <c r="C54" s="71"/>
      <c r="D54" s="71"/>
      <c r="E54" s="71"/>
      <c r="F54" s="71"/>
      <c r="G54" s="71"/>
      <c r="H54" s="71"/>
      <c r="I54" s="71"/>
      <c r="J54" s="71"/>
      <c r="K54" s="71"/>
    </row>
    <row r="55" spans="2:11">
      <c r="B55" s="71"/>
      <c r="C55" s="71"/>
      <c r="D55" s="71"/>
      <c r="E55" s="71"/>
      <c r="F55" s="71"/>
      <c r="G55" s="71"/>
      <c r="H55" s="71"/>
      <c r="I55" s="71"/>
      <c r="J55" s="71"/>
      <c r="K55" s="71"/>
    </row>
    <row r="56" spans="2:11">
      <c r="B56" s="71"/>
      <c r="C56" s="71"/>
      <c r="D56" s="71"/>
      <c r="E56" s="71"/>
      <c r="F56" s="71"/>
      <c r="G56" s="71"/>
      <c r="H56" s="71"/>
      <c r="I56" s="71"/>
      <c r="J56" s="71"/>
      <c r="K56" s="71"/>
    </row>
    <row r="57" spans="2:11"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2:11"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2:11"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2:11">
      <c r="B60" s="71"/>
      <c r="C60" s="71"/>
      <c r="D60" s="71"/>
      <c r="E60" s="71"/>
      <c r="F60" s="71"/>
      <c r="G60" s="71"/>
      <c r="H60" s="71"/>
      <c r="I60" s="71"/>
      <c r="J60" s="71"/>
      <c r="K60" s="71"/>
    </row>
    <row r="61" spans="2:11">
      <c r="B61" s="71"/>
      <c r="C61" s="71"/>
      <c r="D61" s="71"/>
      <c r="E61" s="71"/>
      <c r="F61" s="71"/>
      <c r="G61" s="71"/>
      <c r="H61" s="71"/>
      <c r="I61" s="71"/>
      <c r="J61" s="71"/>
      <c r="K61" s="71"/>
    </row>
    <row r="62" spans="2:11">
      <c r="B62" s="71"/>
      <c r="C62" s="71"/>
      <c r="D62" s="71"/>
      <c r="E62" s="71"/>
      <c r="F62" s="71"/>
      <c r="G62" s="71"/>
      <c r="H62" s="71"/>
      <c r="I62" s="71"/>
      <c r="J62" s="71"/>
      <c r="K62" s="71"/>
    </row>
    <row r="63" spans="2:11">
      <c r="B63" s="71"/>
      <c r="C63" s="71"/>
      <c r="D63" s="71"/>
      <c r="E63" s="71"/>
      <c r="F63" s="71"/>
      <c r="G63" s="71"/>
      <c r="H63" s="71"/>
      <c r="I63" s="71"/>
      <c r="J63" s="71"/>
      <c r="K63" s="71"/>
    </row>
    <row r="64" spans="2:11">
      <c r="B64" s="71"/>
      <c r="C64" s="71"/>
      <c r="D64" s="71"/>
      <c r="E64" s="71"/>
      <c r="F64" s="71"/>
      <c r="G64" s="71"/>
      <c r="H64" s="71"/>
      <c r="I64" s="71"/>
      <c r="J64" s="71"/>
      <c r="K64" s="71"/>
    </row>
    <row r="65" spans="2:11">
      <c r="B65" s="71"/>
      <c r="C65" s="71"/>
      <c r="D65" s="71"/>
      <c r="E65" s="71"/>
      <c r="F65" s="71"/>
      <c r="G65" s="71"/>
      <c r="H65" s="71"/>
      <c r="I65" s="71"/>
      <c r="J65" s="71"/>
      <c r="K65" s="71"/>
    </row>
    <row r="66" spans="2:11">
      <c r="B66" s="71"/>
      <c r="C66" s="71"/>
      <c r="D66" s="71"/>
      <c r="E66" s="71"/>
      <c r="F66" s="71"/>
      <c r="G66" s="71"/>
      <c r="H66" s="71"/>
      <c r="I66" s="71"/>
      <c r="J66" s="71"/>
      <c r="K66" s="71"/>
    </row>
    <row r="67" spans="2:11">
      <c r="B67" s="71"/>
      <c r="C67" s="71"/>
      <c r="D67" s="71"/>
      <c r="E67" s="71"/>
      <c r="F67" s="71"/>
      <c r="G67" s="71"/>
      <c r="H67" s="71"/>
      <c r="I67" s="71"/>
      <c r="J67" s="71"/>
      <c r="K67" s="71"/>
    </row>
    <row r="68" spans="2:11">
      <c r="B68" s="71"/>
      <c r="C68" s="71"/>
      <c r="D68" s="71"/>
      <c r="E68" s="71"/>
      <c r="F68" s="71"/>
      <c r="G68" s="71"/>
      <c r="H68" s="71"/>
      <c r="I68" s="71"/>
      <c r="J68" s="71"/>
      <c r="K68" s="71"/>
    </row>
    <row r="69" spans="2:11">
      <c r="B69" s="71"/>
      <c r="C69" s="71"/>
      <c r="D69" s="71"/>
      <c r="E69" s="71"/>
      <c r="F69" s="71"/>
      <c r="G69" s="71"/>
      <c r="H69" s="71"/>
      <c r="I69" s="71"/>
      <c r="J69" s="71"/>
      <c r="K69" s="71"/>
    </row>
    <row r="70" spans="2:11"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2:11">
      <c r="B71" s="71"/>
      <c r="C71" s="71"/>
      <c r="D71" s="71"/>
      <c r="E71" s="71"/>
      <c r="F71" s="71"/>
      <c r="G71" s="71"/>
      <c r="H71" s="71"/>
      <c r="I71" s="71"/>
      <c r="J71" s="71"/>
      <c r="K71" s="71"/>
    </row>
    <row r="72" spans="2:11">
      <c r="B72" s="71"/>
      <c r="C72" s="71"/>
      <c r="D72" s="71"/>
      <c r="E72" s="71"/>
      <c r="F72" s="71"/>
      <c r="G72" s="71"/>
      <c r="H72" s="71"/>
      <c r="I72" s="71"/>
      <c r="J72" s="71"/>
      <c r="K72" s="71"/>
    </row>
    <row r="73" spans="2:11">
      <c r="B73" s="71"/>
      <c r="C73" s="71"/>
      <c r="D73" s="71"/>
      <c r="E73" s="71"/>
      <c r="F73" s="71"/>
      <c r="G73" s="71"/>
      <c r="H73" s="71"/>
      <c r="I73" s="71"/>
      <c r="J73" s="71"/>
      <c r="K73" s="71"/>
    </row>
    <row r="74" spans="2:11">
      <c r="B74" s="71"/>
      <c r="C74" s="71"/>
      <c r="D74" s="71"/>
      <c r="E74" s="71"/>
      <c r="F74" s="71"/>
      <c r="G74" s="71"/>
      <c r="H74" s="71"/>
      <c r="I74" s="71"/>
      <c r="J74" s="71"/>
      <c r="K74" s="71"/>
    </row>
    <row r="75" spans="2:11">
      <c r="B75" s="71"/>
      <c r="C75" s="71"/>
      <c r="D75" s="71"/>
      <c r="E75" s="71"/>
      <c r="F75" s="71"/>
      <c r="G75" s="71"/>
      <c r="H75" s="71"/>
      <c r="I75" s="71"/>
      <c r="J75" s="71"/>
      <c r="K75" s="71"/>
    </row>
    <row r="76" spans="2:11">
      <c r="B76" s="71"/>
      <c r="C76" s="71"/>
      <c r="D76" s="71"/>
      <c r="E76" s="71"/>
      <c r="F76" s="71"/>
      <c r="G76" s="71"/>
      <c r="H76" s="71"/>
      <c r="I76" s="71"/>
      <c r="J76" s="71"/>
      <c r="K76" s="71"/>
    </row>
    <row r="77" spans="2:11">
      <c r="B77" s="71"/>
      <c r="C77" s="71"/>
      <c r="D77" s="71"/>
      <c r="E77" s="71"/>
      <c r="F77" s="71"/>
      <c r="G77" s="71"/>
      <c r="H77" s="71"/>
      <c r="I77" s="71"/>
      <c r="J77" s="71"/>
      <c r="K77" s="71"/>
    </row>
    <row r="78" spans="2:11">
      <c r="B78" s="71"/>
      <c r="C78" s="71"/>
      <c r="D78" s="71"/>
      <c r="E78" s="71"/>
      <c r="F78" s="71"/>
      <c r="G78" s="71"/>
      <c r="H78" s="71"/>
      <c r="I78" s="71"/>
      <c r="J78" s="71"/>
      <c r="K78" s="71"/>
    </row>
    <row r="79" spans="2:11">
      <c r="B79" s="71"/>
      <c r="C79" s="71"/>
      <c r="D79" s="71"/>
      <c r="E79" s="71"/>
      <c r="F79" s="71"/>
      <c r="G79" s="71"/>
      <c r="H79" s="71"/>
      <c r="I79" s="71"/>
      <c r="J79" s="71"/>
      <c r="K79" s="71"/>
    </row>
    <row r="80" spans="2:11"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2:11">
      <c r="B81" s="71"/>
      <c r="C81" s="71"/>
      <c r="D81" s="71"/>
      <c r="E81" s="71"/>
      <c r="F81" s="71"/>
      <c r="G81" s="71"/>
      <c r="H81" s="71"/>
      <c r="I81" s="71"/>
      <c r="J81" s="71"/>
      <c r="K81" s="71"/>
    </row>
    <row r="82" spans="2:11">
      <c r="B82" s="71"/>
      <c r="C82" s="71"/>
      <c r="D82" s="71"/>
      <c r="E82" s="71"/>
      <c r="F82" s="71"/>
      <c r="G82" s="71"/>
      <c r="H82" s="71"/>
      <c r="I82" s="71"/>
      <c r="J82" s="71"/>
      <c r="K82" s="71"/>
    </row>
    <row r="83" spans="2:11">
      <c r="B83" s="71"/>
      <c r="C83" s="71"/>
      <c r="D83" s="71"/>
      <c r="E83" s="71"/>
      <c r="F83" s="71"/>
      <c r="G83" s="71"/>
      <c r="H83" s="71"/>
      <c r="I83" s="71"/>
      <c r="J83" s="71"/>
      <c r="K83" s="71"/>
    </row>
    <row r="84" spans="2:11">
      <c r="B84" s="71"/>
      <c r="C84" s="71"/>
      <c r="D84" s="71"/>
      <c r="E84" s="71"/>
      <c r="F84" s="71"/>
      <c r="G84" s="71"/>
      <c r="H84" s="71"/>
      <c r="I84" s="71"/>
      <c r="J84" s="71"/>
      <c r="K84" s="71"/>
    </row>
    <row r="85" spans="2:11">
      <c r="B85" s="71"/>
      <c r="C85" s="71"/>
      <c r="D85" s="71"/>
      <c r="E85" s="71"/>
      <c r="F85" s="71"/>
      <c r="G85" s="71"/>
      <c r="H85" s="71"/>
      <c r="I85" s="71"/>
      <c r="J85" s="71"/>
      <c r="K85" s="71"/>
    </row>
    <row r="86" spans="2:11">
      <c r="B86" s="71"/>
      <c r="C86" s="71"/>
      <c r="D86" s="71"/>
      <c r="E86" s="71"/>
      <c r="F86" s="71"/>
      <c r="G86" s="71"/>
      <c r="H86" s="71"/>
      <c r="I86" s="71"/>
      <c r="J86" s="71"/>
      <c r="K86" s="71"/>
    </row>
    <row r="87" spans="2:11">
      <c r="B87" s="71"/>
      <c r="C87" s="71"/>
      <c r="D87" s="71"/>
      <c r="E87" s="71"/>
      <c r="F87" s="71"/>
      <c r="G87" s="71"/>
      <c r="H87" s="71"/>
      <c r="I87" s="71"/>
      <c r="J87" s="71"/>
      <c r="K87" s="71"/>
    </row>
    <row r="88" spans="2:11">
      <c r="B88" s="71"/>
      <c r="C88" s="71"/>
      <c r="D88" s="71"/>
      <c r="E88" s="71"/>
      <c r="F88" s="71"/>
      <c r="G88" s="71"/>
      <c r="H88" s="71"/>
      <c r="I88" s="71"/>
      <c r="J88" s="71"/>
      <c r="K88" s="71"/>
    </row>
    <row r="89" spans="2:11">
      <c r="B89" s="71"/>
      <c r="C89" s="71"/>
      <c r="D89" s="71"/>
      <c r="E89" s="71"/>
      <c r="F89" s="71"/>
      <c r="G89" s="71"/>
      <c r="H89" s="71"/>
      <c r="I89" s="71"/>
      <c r="J89" s="71"/>
      <c r="K89" s="71"/>
    </row>
    <row r="90" spans="2:11">
      <c r="B90" s="71"/>
      <c r="C90" s="71"/>
      <c r="D90" s="71"/>
      <c r="E90" s="71"/>
      <c r="F90" s="71"/>
      <c r="G90" s="71"/>
      <c r="H90" s="71"/>
      <c r="I90" s="71"/>
      <c r="J90" s="71"/>
      <c r="K90" s="71"/>
    </row>
    <row r="91" spans="2:11"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2:11">
      <c r="B92" s="71"/>
      <c r="C92" s="71"/>
      <c r="D92" s="71"/>
      <c r="E92" s="71"/>
      <c r="F92" s="71"/>
      <c r="G92" s="71"/>
      <c r="H92" s="71"/>
      <c r="I92" s="71"/>
      <c r="J92" s="71"/>
      <c r="K92" s="71"/>
    </row>
  </sheetData>
  <sheetProtection selectLockedCells="1"/>
  <mergeCells count="39">
    <mergeCell ref="L2:L3"/>
    <mergeCell ref="D3:K3"/>
    <mergeCell ref="B4:K6"/>
    <mergeCell ref="D1:K1"/>
    <mergeCell ref="D2:K2"/>
    <mergeCell ref="C9:G9"/>
    <mergeCell ref="C8:G8"/>
    <mergeCell ref="B10:B13"/>
    <mergeCell ref="C10:G13"/>
    <mergeCell ref="B14:B17"/>
    <mergeCell ref="C14:G17"/>
    <mergeCell ref="B50:B51"/>
    <mergeCell ref="C50:G51"/>
    <mergeCell ref="B18:B21"/>
    <mergeCell ref="C18:G21"/>
    <mergeCell ref="B22:B25"/>
    <mergeCell ref="C22:G25"/>
    <mergeCell ref="B26:G26"/>
    <mergeCell ref="B27:B29"/>
    <mergeCell ref="C27:G29"/>
    <mergeCell ref="B30:B32"/>
    <mergeCell ref="C30:G32"/>
    <mergeCell ref="B33:B35"/>
    <mergeCell ref="C33:G35"/>
    <mergeCell ref="C36:G38"/>
    <mergeCell ref="C39:G39"/>
    <mergeCell ref="B40:B42"/>
    <mergeCell ref="I45:K45"/>
    <mergeCell ref="I39:K39"/>
    <mergeCell ref="I26:K26"/>
    <mergeCell ref="B45:G45"/>
    <mergeCell ref="B48:B49"/>
    <mergeCell ref="C48:G49"/>
    <mergeCell ref="D40:G42"/>
    <mergeCell ref="B46:B47"/>
    <mergeCell ref="C46:G47"/>
    <mergeCell ref="B36:B38"/>
    <mergeCell ref="B43:B44"/>
    <mergeCell ref="D43:G44"/>
  </mergeCells>
  <phoneticPr fontId="2" type="noConversion"/>
  <pageMargins left="0.70866141732283472" right="0.23622047244094491" top="0.23622047244094491" bottom="0.55118110236220474" header="0.19685039370078741" footer="0.51181102362204722"/>
  <pageSetup paperSize="9" scale="66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84"/>
  <sheetViews>
    <sheetView view="pageBreakPreview" zoomScale="50" zoomScaleNormal="80" zoomScaleSheetLayoutView="50" workbookViewId="0">
      <pane ySplit="5" topLeftCell="A81" activePane="bottomLeft" state="frozen"/>
      <selection pane="bottomLeft" activeCell="C7" sqref="C7:C11"/>
    </sheetView>
  </sheetViews>
  <sheetFormatPr defaultRowHeight="12.75"/>
  <cols>
    <col min="1" max="1" width="6.28515625" customWidth="1"/>
    <col min="2" max="2" width="122.85546875" customWidth="1"/>
    <col min="3" max="3" width="43.5703125" customWidth="1"/>
    <col min="4" max="4" width="9.5703125" hidden="1" customWidth="1"/>
    <col min="5" max="5" width="15" customWidth="1"/>
    <col min="6" max="6" width="10.140625" hidden="1" customWidth="1"/>
    <col min="7" max="7" width="12" customWidth="1"/>
    <col min="8" max="8" width="3.42578125" hidden="1" customWidth="1"/>
    <col min="9" max="9" width="12.7109375" customWidth="1"/>
    <col min="10" max="10" width="4.28515625" hidden="1" customWidth="1"/>
    <col min="11" max="11" width="13.5703125" customWidth="1"/>
    <col min="12" max="12" width="9.85546875" hidden="1" customWidth="1"/>
    <col min="13" max="13" width="16.42578125" customWidth="1"/>
    <col min="14" max="15" width="13.85546875" customWidth="1"/>
    <col min="16" max="16" width="12.7109375" customWidth="1"/>
    <col min="17" max="17" width="11" hidden="1" customWidth="1"/>
    <col min="18" max="18" width="18.140625" customWidth="1"/>
    <col min="19" max="19" width="15.7109375" customWidth="1"/>
    <col min="20" max="20" width="14.85546875" customWidth="1"/>
    <col min="21" max="21" width="23.85546875" customWidth="1"/>
    <col min="22" max="22" width="17.42578125" hidden="1" customWidth="1"/>
    <col min="23" max="23" width="19.140625" hidden="1" customWidth="1"/>
  </cols>
  <sheetData>
    <row r="1" spans="1:23" ht="61.5" customHeight="1">
      <c r="C1" s="1081" t="s">
        <v>443</v>
      </c>
      <c r="D1" s="1081"/>
      <c r="E1" s="1081"/>
      <c r="F1" s="1081"/>
      <c r="G1" s="1081"/>
      <c r="H1" s="1081"/>
      <c r="I1" s="1081"/>
      <c r="J1" s="1081"/>
      <c r="K1" s="1081"/>
      <c r="L1" s="1081"/>
      <c r="M1" s="1081"/>
      <c r="N1" s="1081"/>
      <c r="O1" s="1081"/>
      <c r="P1" s="1081"/>
      <c r="Q1" s="1081"/>
      <c r="R1" s="1081"/>
      <c r="S1" s="1081"/>
      <c r="T1" s="1081"/>
      <c r="U1" s="1081"/>
    </row>
    <row r="2" spans="1:23" ht="33.75" customHeight="1">
      <c r="A2" s="463" t="s">
        <v>404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2"/>
      <c r="W2" s="462"/>
    </row>
    <row r="3" spans="1:23" ht="33.75" customHeight="1">
      <c r="A3" s="1131" t="s">
        <v>382</v>
      </c>
      <c r="B3" s="1131"/>
      <c r="C3" s="1131"/>
      <c r="D3" s="1131"/>
      <c r="E3" s="1131"/>
      <c r="F3" s="1131"/>
      <c r="G3" s="1131"/>
      <c r="H3" s="1131"/>
      <c r="I3" s="1131"/>
      <c r="J3" s="1131"/>
      <c r="K3" s="1131"/>
      <c r="L3" s="1131"/>
      <c r="M3" s="1131"/>
      <c r="N3" s="1131"/>
      <c r="O3" s="1131"/>
      <c r="P3" s="1131"/>
      <c r="Q3" s="1131"/>
      <c r="R3" s="1131"/>
      <c r="S3" s="1131"/>
      <c r="T3" s="1131"/>
      <c r="U3" s="1131"/>
      <c r="V3" s="502"/>
      <c r="W3" s="502"/>
    </row>
    <row r="4" spans="1:23" ht="45.75" customHeight="1">
      <c r="A4" s="1119" t="s">
        <v>0</v>
      </c>
      <c r="B4" s="1121" t="s">
        <v>55</v>
      </c>
      <c r="C4" s="1121" t="s">
        <v>335</v>
      </c>
      <c r="D4" s="353"/>
      <c r="E4" s="1135" t="s">
        <v>218</v>
      </c>
      <c r="F4" s="1136"/>
      <c r="G4" s="1136"/>
      <c r="H4" s="1136"/>
      <c r="I4" s="1136"/>
      <c r="J4" s="1136"/>
      <c r="K4" s="1137"/>
      <c r="L4" s="564"/>
      <c r="M4" s="1143" t="s">
        <v>398</v>
      </c>
      <c r="N4" s="1143"/>
      <c r="O4" s="1143"/>
      <c r="P4" s="1143"/>
      <c r="Q4" s="354"/>
      <c r="R4" s="1123" t="s">
        <v>323</v>
      </c>
      <c r="S4" s="1123" t="s">
        <v>288</v>
      </c>
      <c r="T4" s="1123" t="s">
        <v>256</v>
      </c>
      <c r="U4" s="1125" t="s">
        <v>31</v>
      </c>
      <c r="V4" s="1141" t="s">
        <v>251</v>
      </c>
      <c r="W4" s="1141" t="s">
        <v>252</v>
      </c>
    </row>
    <row r="5" spans="1:23" ht="71.25" customHeight="1">
      <c r="A5" s="1120"/>
      <c r="B5" s="1122"/>
      <c r="C5" s="1122"/>
      <c r="D5" s="355"/>
      <c r="E5" s="565" t="s">
        <v>2</v>
      </c>
      <c r="F5" s="565"/>
      <c r="G5" s="565" t="s">
        <v>330</v>
      </c>
      <c r="H5" s="565"/>
      <c r="I5" s="565" t="s">
        <v>331</v>
      </c>
      <c r="J5" s="565"/>
      <c r="K5" s="565" t="s">
        <v>166</v>
      </c>
      <c r="L5" s="565"/>
      <c r="M5" s="356" t="s">
        <v>2</v>
      </c>
      <c r="N5" s="356" t="s">
        <v>327</v>
      </c>
      <c r="O5" s="356" t="s">
        <v>328</v>
      </c>
      <c r="P5" s="356" t="s">
        <v>329</v>
      </c>
      <c r="Q5" s="565"/>
      <c r="R5" s="1124"/>
      <c r="S5" s="1124"/>
      <c r="T5" s="1124"/>
      <c r="U5" s="1126"/>
      <c r="V5" s="1142"/>
      <c r="W5" s="1142"/>
    </row>
    <row r="6" spans="1:23" ht="27.75" customHeight="1">
      <c r="A6" s="1139" t="s">
        <v>25</v>
      </c>
      <c r="B6" s="1139"/>
      <c r="C6" s="1139"/>
      <c r="D6" s="1139"/>
      <c r="E6" s="1139"/>
      <c r="F6" s="1139"/>
      <c r="G6" s="1139"/>
      <c r="H6" s="1139"/>
      <c r="I6" s="1139"/>
      <c r="J6" s="1139"/>
      <c r="K6" s="1139"/>
      <c r="L6" s="1139"/>
      <c r="M6" s="1139"/>
      <c r="N6" s="1139"/>
      <c r="O6" s="1139"/>
      <c r="P6" s="1139"/>
      <c r="Q6" s="1139"/>
      <c r="R6" s="1139"/>
      <c r="S6" s="1139"/>
      <c r="T6" s="1139"/>
      <c r="U6" s="1139"/>
      <c r="V6" s="1139"/>
      <c r="W6" s="1139"/>
    </row>
    <row r="7" spans="1:23" ht="31.5" customHeight="1">
      <c r="A7" s="1140">
        <v>1</v>
      </c>
      <c r="B7" s="1146" t="s">
        <v>416</v>
      </c>
      <c r="C7" s="1132" t="s">
        <v>370</v>
      </c>
      <c r="D7" s="549">
        <v>200</v>
      </c>
      <c r="E7" s="1138">
        <v>200</v>
      </c>
      <c r="F7" s="552">
        <v>200</v>
      </c>
      <c r="G7" s="1138" t="s">
        <v>332</v>
      </c>
      <c r="H7" s="549">
        <v>200</v>
      </c>
      <c r="I7" s="1132">
        <v>200</v>
      </c>
      <c r="J7" s="549"/>
      <c r="K7" s="1138" t="s">
        <v>15</v>
      </c>
      <c r="L7" s="552"/>
      <c r="M7" s="331">
        <f>T7/(1000/E7)</f>
        <v>29.75</v>
      </c>
      <c r="N7" s="331">
        <f>T7/(1000/F7)</f>
        <v>29.75</v>
      </c>
      <c r="O7" s="331">
        <f>T7/(1000/H7)</f>
        <v>29.75</v>
      </c>
      <c r="P7" s="331" t="s">
        <v>15</v>
      </c>
      <c r="Q7" s="553">
        <v>46</v>
      </c>
      <c r="R7" s="1111" t="s">
        <v>410</v>
      </c>
      <c r="S7" s="553" t="s">
        <v>219</v>
      </c>
      <c r="T7" s="332">
        <f t="shared" ref="T7:T45" si="0">U7/Q7</f>
        <v>148.76</v>
      </c>
      <c r="U7" s="570">
        <f>'[2]Прайс опт кратко'!$U$7*1.15</f>
        <v>6843</v>
      </c>
      <c r="V7" s="558">
        <f>ROUNDUP(U7*1.15,0)</f>
        <v>7870</v>
      </c>
      <c r="W7" s="558">
        <f>ROUNDUP(U7*1.3,0)</f>
        <v>8896</v>
      </c>
    </row>
    <row r="8" spans="1:23" ht="27" customHeight="1">
      <c r="A8" s="1140"/>
      <c r="B8" s="1146"/>
      <c r="C8" s="1133"/>
      <c r="D8" s="550">
        <v>200</v>
      </c>
      <c r="E8" s="1138"/>
      <c r="F8" s="552">
        <v>200</v>
      </c>
      <c r="G8" s="1138"/>
      <c r="H8" s="550">
        <v>200</v>
      </c>
      <c r="I8" s="1133"/>
      <c r="J8" s="550"/>
      <c r="K8" s="1138"/>
      <c r="L8" s="552"/>
      <c r="M8" s="331">
        <f>T8/(1000/E7)</f>
        <v>31.24</v>
      </c>
      <c r="N8" s="331">
        <f>T8/(1000/F8)</f>
        <v>31.24</v>
      </c>
      <c r="O8" s="331">
        <f>T8/(1000/H8)</f>
        <v>31.24</v>
      </c>
      <c r="P8" s="331" t="s">
        <v>15</v>
      </c>
      <c r="Q8" s="553">
        <v>22</v>
      </c>
      <c r="R8" s="1112"/>
      <c r="S8" s="334" t="str">
        <f>'[1]прайс быт.'!I10</f>
        <v>22 кг</v>
      </c>
      <c r="T8" s="332">
        <f t="shared" si="0"/>
        <v>156.19</v>
      </c>
      <c r="U8" s="568">
        <f>ROUND('[2]Прайс опт кратко'!$U$8*1.15,2)</f>
        <v>3436.2</v>
      </c>
      <c r="V8" s="558">
        <f t="shared" ref="V8:V70" si="1">ROUNDUP(U8*1.15,0)</f>
        <v>3952</v>
      </c>
      <c r="W8" s="558">
        <f>ROUNDUP(U8*1.3,0)</f>
        <v>4468</v>
      </c>
    </row>
    <row r="9" spans="1:23" ht="29.25" customHeight="1">
      <c r="A9" s="1140"/>
      <c r="B9" s="1146"/>
      <c r="C9" s="1133"/>
      <c r="D9" s="550"/>
      <c r="E9" s="1138"/>
      <c r="F9" s="552"/>
      <c r="G9" s="1138"/>
      <c r="H9" s="550"/>
      <c r="I9" s="1133"/>
      <c r="J9" s="550"/>
      <c r="K9" s="1138"/>
      <c r="L9" s="549"/>
      <c r="M9" s="1147" t="s">
        <v>15</v>
      </c>
      <c r="N9" s="1147" t="s">
        <v>15</v>
      </c>
      <c r="O9" s="1147" t="s">
        <v>15</v>
      </c>
      <c r="P9" s="1147" t="s">
        <v>15</v>
      </c>
      <c r="Q9" s="553">
        <v>10</v>
      </c>
      <c r="R9" s="1111" t="s">
        <v>411</v>
      </c>
      <c r="S9" s="334" t="str">
        <f>'[1]прайс быт.'!I11</f>
        <v>10 кг</v>
      </c>
      <c r="T9" s="332">
        <f t="shared" si="0"/>
        <v>168.25</v>
      </c>
      <c r="U9" s="568">
        <f>ROUND('[2]Прайс опт кратко'!$U$9*1.15,2)</f>
        <v>1682.45</v>
      </c>
      <c r="V9" s="558">
        <f t="shared" si="1"/>
        <v>1935</v>
      </c>
      <c r="W9" s="558">
        <f>ROUNDUP(U9*1.3,0)</f>
        <v>2188</v>
      </c>
    </row>
    <row r="10" spans="1:23" ht="30.75" customHeight="1">
      <c r="A10" s="1140"/>
      <c r="B10" s="1146"/>
      <c r="C10" s="1133"/>
      <c r="D10" s="550"/>
      <c r="E10" s="1138"/>
      <c r="F10" s="552"/>
      <c r="G10" s="1138"/>
      <c r="H10" s="550"/>
      <c r="I10" s="1133"/>
      <c r="J10" s="550"/>
      <c r="K10" s="1138"/>
      <c r="L10" s="550"/>
      <c r="M10" s="1148"/>
      <c r="N10" s="1148"/>
      <c r="O10" s="1148"/>
      <c r="P10" s="1148"/>
      <c r="Q10" s="553">
        <v>3.2</v>
      </c>
      <c r="R10" s="1150"/>
      <c r="S10" s="334" t="str">
        <f>'[1]прайс быт.'!I12</f>
        <v>3,2 кг</v>
      </c>
      <c r="T10" s="332">
        <f t="shared" si="0"/>
        <v>176.81</v>
      </c>
      <c r="U10" s="568">
        <f>'[2]Прайс опт кратко'!$U$10*1.15</f>
        <v>565.79999999999995</v>
      </c>
      <c r="V10" s="558">
        <f t="shared" si="1"/>
        <v>651</v>
      </c>
      <c r="W10" s="558">
        <f t="shared" ref="W10:W36" si="2">ROUNDUP(U10*1.3,0)</f>
        <v>736</v>
      </c>
    </row>
    <row r="11" spans="1:23" ht="23.25" customHeight="1">
      <c r="A11" s="1140"/>
      <c r="B11" s="1146"/>
      <c r="C11" s="1134"/>
      <c r="D11" s="551"/>
      <c r="E11" s="1138"/>
      <c r="F11" s="552"/>
      <c r="G11" s="1138"/>
      <c r="H11" s="551"/>
      <c r="I11" s="1134"/>
      <c r="J11" s="551"/>
      <c r="K11" s="1138"/>
      <c r="L11" s="551"/>
      <c r="M11" s="1149"/>
      <c r="N11" s="1149"/>
      <c r="O11" s="1149"/>
      <c r="P11" s="1149"/>
      <c r="Q11" s="553">
        <v>1</v>
      </c>
      <c r="R11" s="1112"/>
      <c r="S11" s="334" t="str">
        <f>'[1]прайс быт.'!I13</f>
        <v>1 кг</v>
      </c>
      <c r="T11" s="332">
        <f t="shared" si="0"/>
        <v>186.3</v>
      </c>
      <c r="U11" s="568">
        <f>ROUND('[2]Прайс опт кратко'!$U$11*1.15,2)</f>
        <v>186.3</v>
      </c>
      <c r="V11" s="558">
        <f t="shared" si="1"/>
        <v>215</v>
      </c>
      <c r="W11" s="558">
        <f t="shared" si="2"/>
        <v>243</v>
      </c>
    </row>
    <row r="12" spans="1:23" ht="23.25" customHeight="1">
      <c r="A12" s="1144">
        <v>2</v>
      </c>
      <c r="B12" s="1145" t="s">
        <v>356</v>
      </c>
      <c r="C12" s="1113" t="s">
        <v>333</v>
      </c>
      <c r="D12" s="527">
        <v>100</v>
      </c>
      <c r="E12" s="1130">
        <v>100</v>
      </c>
      <c r="F12" s="557">
        <v>280</v>
      </c>
      <c r="G12" s="1130">
        <v>280</v>
      </c>
      <c r="H12" s="527">
        <v>180</v>
      </c>
      <c r="I12" s="1113">
        <v>180</v>
      </c>
      <c r="J12" s="527">
        <v>400</v>
      </c>
      <c r="K12" s="1130">
        <v>400</v>
      </c>
      <c r="L12" s="557"/>
      <c r="M12" s="335">
        <f>T12/(1000/D12)</f>
        <v>14.95</v>
      </c>
      <c r="N12" s="335">
        <f>T12/(1000/F12)</f>
        <v>41.86</v>
      </c>
      <c r="O12" s="335">
        <f>T12/(1000/H12)</f>
        <v>26.91</v>
      </c>
      <c r="P12" s="335">
        <f>T12/(1000/J12)</f>
        <v>59.8</v>
      </c>
      <c r="Q12" s="555">
        <v>50</v>
      </c>
      <c r="R12" s="1105" t="s">
        <v>410</v>
      </c>
      <c r="S12" s="555" t="s">
        <v>221</v>
      </c>
      <c r="T12" s="336">
        <f t="shared" si="0"/>
        <v>149.5</v>
      </c>
      <c r="U12" s="505">
        <f>'[2]Прайс опт кратко'!$U$12*1.15</f>
        <v>7475</v>
      </c>
      <c r="V12" s="337">
        <f t="shared" si="1"/>
        <v>8597</v>
      </c>
      <c r="W12" s="337">
        <f t="shared" si="2"/>
        <v>9718</v>
      </c>
    </row>
    <row r="13" spans="1:23" ht="24.75" customHeight="1">
      <c r="A13" s="1144"/>
      <c r="B13" s="1145"/>
      <c r="C13" s="1114"/>
      <c r="D13" s="528">
        <v>100</v>
      </c>
      <c r="E13" s="1130"/>
      <c r="F13" s="557">
        <v>280</v>
      </c>
      <c r="G13" s="1130"/>
      <c r="H13" s="528">
        <v>180</v>
      </c>
      <c r="I13" s="1114"/>
      <c r="J13" s="528">
        <v>400</v>
      </c>
      <c r="K13" s="1130"/>
      <c r="L13" s="557"/>
      <c r="M13" s="335">
        <f>T13/(1000/D13)</f>
        <v>16</v>
      </c>
      <c r="N13" s="335">
        <f>T13/(1000/F13)</f>
        <v>44.79</v>
      </c>
      <c r="O13" s="335">
        <f>T13/(1000/H13)</f>
        <v>28.8</v>
      </c>
      <c r="P13" s="335">
        <f>T13/(1000/J13)</f>
        <v>63.99</v>
      </c>
      <c r="Q13" s="555">
        <v>26</v>
      </c>
      <c r="R13" s="1107"/>
      <c r="S13" s="338" t="str">
        <f>'[1]прайс быт.'!I14</f>
        <v>26 кг</v>
      </c>
      <c r="T13" s="336">
        <f t="shared" si="0"/>
        <v>159.97999999999999</v>
      </c>
      <c r="U13" s="568">
        <f>'[2]Прайс опт кратко'!$U$13*1.15</f>
        <v>4159.55</v>
      </c>
      <c r="V13" s="337">
        <f t="shared" si="1"/>
        <v>4784</v>
      </c>
      <c r="W13" s="337">
        <f t="shared" si="2"/>
        <v>5408</v>
      </c>
    </row>
    <row r="14" spans="1:23" ht="25.5" customHeight="1">
      <c r="A14" s="1144"/>
      <c r="B14" s="1145"/>
      <c r="C14" s="1114"/>
      <c r="D14" s="528"/>
      <c r="E14" s="1130"/>
      <c r="F14" s="557"/>
      <c r="G14" s="1130"/>
      <c r="H14" s="528"/>
      <c r="I14" s="1114"/>
      <c r="J14" s="528"/>
      <c r="K14" s="1130"/>
      <c r="L14" s="527"/>
      <c r="M14" s="1108" t="s">
        <v>15</v>
      </c>
      <c r="N14" s="1108" t="s">
        <v>15</v>
      </c>
      <c r="O14" s="1108" t="s">
        <v>15</v>
      </c>
      <c r="P14" s="1108" t="s">
        <v>15</v>
      </c>
      <c r="Q14" s="555">
        <v>11</v>
      </c>
      <c r="R14" s="1105" t="s">
        <v>411</v>
      </c>
      <c r="S14" s="338" t="str">
        <f>'[1]прайс быт.'!I15</f>
        <v>11 кг</v>
      </c>
      <c r="T14" s="336">
        <f t="shared" si="0"/>
        <v>168.84</v>
      </c>
      <c r="U14" s="568">
        <f>'[2]Прайс опт кратко'!$U$14*1.15</f>
        <v>1857.25</v>
      </c>
      <c r="V14" s="337">
        <f t="shared" si="1"/>
        <v>2136</v>
      </c>
      <c r="W14" s="337">
        <f t="shared" si="2"/>
        <v>2415</v>
      </c>
    </row>
    <row r="15" spans="1:23" ht="24.75" customHeight="1">
      <c r="A15" s="1144"/>
      <c r="B15" s="1145"/>
      <c r="C15" s="1114"/>
      <c r="D15" s="528"/>
      <c r="E15" s="1130"/>
      <c r="F15" s="557"/>
      <c r="G15" s="1130"/>
      <c r="H15" s="528"/>
      <c r="I15" s="1114"/>
      <c r="J15" s="528"/>
      <c r="K15" s="1130"/>
      <c r="L15" s="528"/>
      <c r="M15" s="1109"/>
      <c r="N15" s="1109"/>
      <c r="O15" s="1109"/>
      <c r="P15" s="1109"/>
      <c r="Q15" s="555">
        <v>3.2</v>
      </c>
      <c r="R15" s="1106"/>
      <c r="S15" s="338" t="str">
        <f>'[1]прайс быт.'!I16</f>
        <v>3,5 кг</v>
      </c>
      <c r="T15" s="336">
        <f t="shared" si="0"/>
        <v>200.53</v>
      </c>
      <c r="U15" s="568">
        <f>'[2]Прайс опт кратко'!$U$15*1.15</f>
        <v>641.70000000000005</v>
      </c>
      <c r="V15" s="337">
        <f t="shared" si="1"/>
        <v>738</v>
      </c>
      <c r="W15" s="337">
        <f t="shared" si="2"/>
        <v>835</v>
      </c>
    </row>
    <row r="16" spans="1:23" ht="24" customHeight="1">
      <c r="A16" s="1144"/>
      <c r="B16" s="1145"/>
      <c r="C16" s="1115"/>
      <c r="D16" s="529"/>
      <c r="E16" s="1130"/>
      <c r="F16" s="557"/>
      <c r="G16" s="1130"/>
      <c r="H16" s="529"/>
      <c r="I16" s="1115"/>
      <c r="J16" s="529"/>
      <c r="K16" s="1130"/>
      <c r="L16" s="529"/>
      <c r="M16" s="1110"/>
      <c r="N16" s="1110"/>
      <c r="O16" s="1110"/>
      <c r="P16" s="1110"/>
      <c r="Q16" s="555">
        <v>1.1000000000000001</v>
      </c>
      <c r="R16" s="1107"/>
      <c r="S16" s="338" t="str">
        <f>'[1]прайс быт.'!I17</f>
        <v>1,1 кг</v>
      </c>
      <c r="T16" s="336">
        <f t="shared" si="0"/>
        <v>196.55</v>
      </c>
      <c r="U16" s="568">
        <f>'[2]Прайс опт кратко'!$U$16*1.15</f>
        <v>216.2</v>
      </c>
      <c r="V16" s="337">
        <f t="shared" si="1"/>
        <v>249</v>
      </c>
      <c r="W16" s="337">
        <f t="shared" si="2"/>
        <v>282</v>
      </c>
    </row>
    <row r="17" spans="1:23" ht="23.25" customHeight="1">
      <c r="A17" s="1140">
        <v>3</v>
      </c>
      <c r="B17" s="1146" t="s">
        <v>357</v>
      </c>
      <c r="C17" s="1132" t="s">
        <v>41</v>
      </c>
      <c r="D17" s="549">
        <v>100</v>
      </c>
      <c r="E17" s="1138">
        <v>100</v>
      </c>
      <c r="F17" s="552">
        <v>280</v>
      </c>
      <c r="G17" s="1138">
        <v>280</v>
      </c>
      <c r="H17" s="549">
        <v>180</v>
      </c>
      <c r="I17" s="1132">
        <v>180</v>
      </c>
      <c r="J17" s="549">
        <v>400</v>
      </c>
      <c r="K17" s="1138">
        <v>400</v>
      </c>
      <c r="L17" s="552"/>
      <c r="M17" s="339">
        <f>T17/(1000/D17)</f>
        <v>17.440000000000001</v>
      </c>
      <c r="N17" s="339">
        <f>T17/(1000/F17)</f>
        <v>48.82</v>
      </c>
      <c r="O17" s="339">
        <f>T17/(1000/H17)</f>
        <v>31.38</v>
      </c>
      <c r="P17" s="339">
        <f>T17/(1000/J17)</f>
        <v>69.739999999999995</v>
      </c>
      <c r="Q17" s="559">
        <v>50</v>
      </c>
      <c r="R17" s="1127" t="s">
        <v>410</v>
      </c>
      <c r="S17" s="553" t="s">
        <v>221</v>
      </c>
      <c r="T17" s="332">
        <f t="shared" si="0"/>
        <v>174.36</v>
      </c>
      <c r="U17" s="505">
        <f>'[2]Прайс опт кратко'!$U$17*1.15</f>
        <v>8718.15</v>
      </c>
      <c r="V17" s="558">
        <f t="shared" si="1"/>
        <v>10026</v>
      </c>
      <c r="W17" s="558">
        <f t="shared" si="2"/>
        <v>11334</v>
      </c>
    </row>
    <row r="18" spans="1:23" ht="23.25">
      <c r="A18" s="1140"/>
      <c r="B18" s="1146"/>
      <c r="C18" s="1133"/>
      <c r="D18" s="550">
        <v>100</v>
      </c>
      <c r="E18" s="1138"/>
      <c r="F18" s="552">
        <v>280</v>
      </c>
      <c r="G18" s="1138"/>
      <c r="H18" s="550">
        <v>180</v>
      </c>
      <c r="I18" s="1133"/>
      <c r="J18" s="550">
        <v>400</v>
      </c>
      <c r="K18" s="1138"/>
      <c r="L18" s="552"/>
      <c r="M18" s="339">
        <f>T18/(1000/D18)</f>
        <v>18.760000000000002</v>
      </c>
      <c r="N18" s="339">
        <f>T18/(1000/F18)</f>
        <v>52.51</v>
      </c>
      <c r="O18" s="339">
        <f>T18/(1000/H18)</f>
        <v>33.76</v>
      </c>
      <c r="P18" s="339">
        <f>T18/(1000/J18)</f>
        <v>75.02</v>
      </c>
      <c r="Q18" s="559">
        <v>24</v>
      </c>
      <c r="R18" s="1129"/>
      <c r="S18" s="334" t="s">
        <v>160</v>
      </c>
      <c r="T18" s="332">
        <f t="shared" si="0"/>
        <v>187.55</v>
      </c>
      <c r="U18" s="554">
        <f>'[2]Прайс опт кратко'!$U$18*1.15</f>
        <v>4501.1000000000004</v>
      </c>
      <c r="V18" s="558">
        <f t="shared" si="1"/>
        <v>5177</v>
      </c>
      <c r="W18" s="558">
        <f t="shared" si="2"/>
        <v>5852</v>
      </c>
    </row>
    <row r="19" spans="1:23" ht="24.75">
      <c r="A19" s="1140"/>
      <c r="B19" s="1146"/>
      <c r="C19" s="1133"/>
      <c r="D19" s="550"/>
      <c r="E19" s="1138"/>
      <c r="F19" s="552"/>
      <c r="G19" s="1138"/>
      <c r="H19" s="550"/>
      <c r="I19" s="1133"/>
      <c r="J19" s="550"/>
      <c r="K19" s="1138"/>
      <c r="L19" s="549"/>
      <c r="M19" s="1116" t="s">
        <v>15</v>
      </c>
      <c r="N19" s="1116" t="s">
        <v>15</v>
      </c>
      <c r="O19" s="1116" t="s">
        <v>15</v>
      </c>
      <c r="P19" s="1116" t="s">
        <v>15</v>
      </c>
      <c r="Q19" s="559">
        <v>11</v>
      </c>
      <c r="R19" s="1127" t="s">
        <v>411</v>
      </c>
      <c r="S19" s="334" t="s">
        <v>135</v>
      </c>
      <c r="T19" s="332">
        <f t="shared" si="0"/>
        <v>196.65</v>
      </c>
      <c r="U19" s="568">
        <f>'[2]Прайс опт кратко'!$U$19*1.15</f>
        <v>2163.15</v>
      </c>
      <c r="V19" s="558">
        <f t="shared" si="1"/>
        <v>2488</v>
      </c>
      <c r="W19" s="558">
        <f t="shared" si="2"/>
        <v>2813</v>
      </c>
    </row>
    <row r="20" spans="1:23" ht="24.75">
      <c r="A20" s="1140"/>
      <c r="B20" s="1146"/>
      <c r="C20" s="1133"/>
      <c r="D20" s="550"/>
      <c r="E20" s="1138"/>
      <c r="F20" s="552"/>
      <c r="G20" s="1138"/>
      <c r="H20" s="550"/>
      <c r="I20" s="1133"/>
      <c r="J20" s="550"/>
      <c r="K20" s="1138"/>
      <c r="L20" s="550"/>
      <c r="M20" s="1117"/>
      <c r="N20" s="1117"/>
      <c r="O20" s="1117"/>
      <c r="P20" s="1117"/>
      <c r="Q20" s="559">
        <v>3.5</v>
      </c>
      <c r="R20" s="1128"/>
      <c r="S20" s="334" t="s">
        <v>170</v>
      </c>
      <c r="T20" s="332">
        <f t="shared" si="0"/>
        <v>213.9</v>
      </c>
      <c r="U20" s="568">
        <f>'[2]Прайс опт кратко'!$U$20*1.15</f>
        <v>748.65</v>
      </c>
      <c r="V20" s="558">
        <f t="shared" si="1"/>
        <v>861</v>
      </c>
      <c r="W20" s="558">
        <f t="shared" si="2"/>
        <v>974</v>
      </c>
    </row>
    <row r="21" spans="1:23" ht="24.75">
      <c r="A21" s="1140"/>
      <c r="B21" s="1146"/>
      <c r="C21" s="1134"/>
      <c r="D21" s="551"/>
      <c r="E21" s="1138"/>
      <c r="F21" s="552"/>
      <c r="G21" s="1138"/>
      <c r="H21" s="551"/>
      <c r="I21" s="1134"/>
      <c r="J21" s="551"/>
      <c r="K21" s="1138"/>
      <c r="L21" s="551"/>
      <c r="M21" s="1118"/>
      <c r="N21" s="1118"/>
      <c r="O21" s="1118"/>
      <c r="P21" s="1118"/>
      <c r="Q21" s="559">
        <v>1.1000000000000001</v>
      </c>
      <c r="R21" s="1129"/>
      <c r="S21" s="334" t="s">
        <v>171</v>
      </c>
      <c r="T21" s="332">
        <f t="shared" si="0"/>
        <v>228.95</v>
      </c>
      <c r="U21" s="568">
        <f>'[2]Прайс опт кратко'!$U$21*1.15</f>
        <v>251.85</v>
      </c>
      <c r="V21" s="558">
        <f t="shared" si="1"/>
        <v>290</v>
      </c>
      <c r="W21" s="558">
        <f t="shared" si="2"/>
        <v>328</v>
      </c>
    </row>
    <row r="22" spans="1:23" ht="18.75" customHeight="1">
      <c r="A22" s="1144">
        <v>4</v>
      </c>
      <c r="B22" s="1145" t="s">
        <v>358</v>
      </c>
      <c r="C22" s="1113" t="s">
        <v>42</v>
      </c>
      <c r="D22" s="527">
        <v>100</v>
      </c>
      <c r="E22" s="1130">
        <v>100</v>
      </c>
      <c r="F22" s="557">
        <v>280</v>
      </c>
      <c r="G22" s="1130">
        <v>280</v>
      </c>
      <c r="H22" s="527">
        <v>180</v>
      </c>
      <c r="I22" s="1113">
        <v>180</v>
      </c>
      <c r="J22" s="527">
        <v>400</v>
      </c>
      <c r="K22" s="1130">
        <v>400</v>
      </c>
      <c r="L22" s="557"/>
      <c r="M22" s="335">
        <f>T22/(1000/D22)</f>
        <v>20.89</v>
      </c>
      <c r="N22" s="335">
        <f>T22/(1000/F22)</f>
        <v>58.49</v>
      </c>
      <c r="O22" s="335">
        <f>T22/(1000/H22)</f>
        <v>37.6</v>
      </c>
      <c r="P22" s="335">
        <f>T22/(1000/J22)</f>
        <v>83.56</v>
      </c>
      <c r="Q22" s="555">
        <v>50</v>
      </c>
      <c r="R22" s="1105" t="s">
        <v>410</v>
      </c>
      <c r="S22" s="555" t="s">
        <v>221</v>
      </c>
      <c r="T22" s="336">
        <f t="shared" si="0"/>
        <v>208.91</v>
      </c>
      <c r="U22" s="505">
        <f>'[2]Прайс опт кратко'!$U$22*1.15</f>
        <v>10445.450000000001</v>
      </c>
      <c r="V22" s="337">
        <f t="shared" si="1"/>
        <v>12013</v>
      </c>
      <c r="W22" s="337">
        <f t="shared" si="2"/>
        <v>13580</v>
      </c>
    </row>
    <row r="23" spans="1:23" ht="20.25" customHeight="1">
      <c r="A23" s="1144"/>
      <c r="B23" s="1145"/>
      <c r="C23" s="1114"/>
      <c r="D23" s="528">
        <v>100</v>
      </c>
      <c r="E23" s="1130"/>
      <c r="F23" s="557">
        <v>280</v>
      </c>
      <c r="G23" s="1130"/>
      <c r="H23" s="528">
        <v>180</v>
      </c>
      <c r="I23" s="1114"/>
      <c r="J23" s="528">
        <v>400</v>
      </c>
      <c r="K23" s="1130"/>
      <c r="L23" s="557"/>
      <c r="M23" s="335">
        <f>T23/(1000/D23)</f>
        <v>22.35</v>
      </c>
      <c r="N23" s="335">
        <f>T23/(1000/F23)</f>
        <v>62.59</v>
      </c>
      <c r="O23" s="335">
        <f>T23/(1000/H23)</f>
        <v>40.24</v>
      </c>
      <c r="P23" s="335">
        <f>T23/(1000/J23)</f>
        <v>89.41</v>
      </c>
      <c r="Q23" s="555">
        <v>24</v>
      </c>
      <c r="R23" s="1107"/>
      <c r="S23" s="338" t="s">
        <v>160</v>
      </c>
      <c r="T23" s="336">
        <f t="shared" si="0"/>
        <v>223.53</v>
      </c>
      <c r="U23" s="568">
        <f>'[2]Прайс опт кратко'!$U$23*1.15</f>
        <v>5364.75</v>
      </c>
      <c r="V23" s="337">
        <f>ROUNDUP(U23*1.15,0)</f>
        <v>6170</v>
      </c>
      <c r="W23" s="337">
        <f t="shared" si="2"/>
        <v>6975</v>
      </c>
    </row>
    <row r="24" spans="1:23" ht="24.75" customHeight="1">
      <c r="A24" s="1144"/>
      <c r="B24" s="1145"/>
      <c r="C24" s="1114"/>
      <c r="D24" s="528"/>
      <c r="E24" s="1130"/>
      <c r="F24" s="557"/>
      <c r="G24" s="1130"/>
      <c r="H24" s="528"/>
      <c r="I24" s="1114"/>
      <c r="J24" s="528"/>
      <c r="K24" s="1130"/>
      <c r="L24" s="527"/>
      <c r="M24" s="1108"/>
      <c r="N24" s="1108"/>
      <c r="O24" s="1108"/>
      <c r="P24" s="1108"/>
      <c r="Q24" s="555">
        <v>10.5</v>
      </c>
      <c r="R24" s="1105" t="s">
        <v>411</v>
      </c>
      <c r="S24" s="338" t="s">
        <v>131</v>
      </c>
      <c r="T24" s="336">
        <v>209</v>
      </c>
      <c r="U24" s="554">
        <f>'[2]Прайс опт кратко'!$U$24*1.15</f>
        <v>2524.25</v>
      </c>
      <c r="V24" s="337">
        <f t="shared" si="1"/>
        <v>2903</v>
      </c>
      <c r="W24" s="337">
        <f t="shared" si="2"/>
        <v>3282</v>
      </c>
    </row>
    <row r="25" spans="1:23" ht="21.75" customHeight="1">
      <c r="A25" s="1144"/>
      <c r="B25" s="1145"/>
      <c r="C25" s="1114"/>
      <c r="D25" s="528"/>
      <c r="E25" s="1130"/>
      <c r="F25" s="557"/>
      <c r="G25" s="1130"/>
      <c r="H25" s="528"/>
      <c r="I25" s="1114"/>
      <c r="J25" s="528"/>
      <c r="K25" s="1130"/>
      <c r="L25" s="528"/>
      <c r="M25" s="1109"/>
      <c r="N25" s="1109"/>
      <c r="O25" s="1109"/>
      <c r="P25" s="1109"/>
      <c r="Q25" s="555">
        <v>3.3</v>
      </c>
      <c r="R25" s="1106"/>
      <c r="S25" s="338" t="s">
        <v>130</v>
      </c>
      <c r="T25" s="336">
        <f t="shared" si="0"/>
        <v>257.52999999999997</v>
      </c>
      <c r="U25" s="554">
        <f>'[2]Прайс опт кратко'!$U$25*1.15</f>
        <v>849.85</v>
      </c>
      <c r="V25" s="337">
        <f t="shared" si="1"/>
        <v>978</v>
      </c>
      <c r="W25" s="337">
        <f t="shared" si="2"/>
        <v>1105</v>
      </c>
    </row>
    <row r="26" spans="1:23" ht="38.25" customHeight="1">
      <c r="A26" s="1144"/>
      <c r="B26" s="1145"/>
      <c r="C26" s="1115"/>
      <c r="D26" s="529"/>
      <c r="E26" s="1130"/>
      <c r="F26" s="557"/>
      <c r="G26" s="1130"/>
      <c r="H26" s="529"/>
      <c r="I26" s="1115"/>
      <c r="J26" s="529"/>
      <c r="K26" s="1130"/>
      <c r="L26" s="529"/>
      <c r="M26" s="1110"/>
      <c r="N26" s="1110"/>
      <c r="O26" s="1110"/>
      <c r="P26" s="1110"/>
      <c r="Q26" s="555">
        <v>1</v>
      </c>
      <c r="R26" s="1107"/>
      <c r="S26" s="338" t="s">
        <v>171</v>
      </c>
      <c r="T26" s="336">
        <v>246.36</v>
      </c>
      <c r="U26" s="554">
        <f>'[2]Прайс опт кратко'!$U$26*1.15</f>
        <v>311.64999999999998</v>
      </c>
      <c r="V26" s="337">
        <f t="shared" si="1"/>
        <v>359</v>
      </c>
      <c r="W26" s="337">
        <f t="shared" si="2"/>
        <v>406</v>
      </c>
    </row>
    <row r="27" spans="1:23" ht="63" customHeight="1">
      <c r="A27" s="553">
        <v>5</v>
      </c>
      <c r="B27" s="563" t="s">
        <v>371</v>
      </c>
      <c r="C27" s="552" t="s">
        <v>77</v>
      </c>
      <c r="D27" s="563"/>
      <c r="E27" s="552" t="s">
        <v>15</v>
      </c>
      <c r="F27" s="552"/>
      <c r="G27" s="552">
        <v>100</v>
      </c>
      <c r="H27" s="552"/>
      <c r="I27" s="552">
        <v>50</v>
      </c>
      <c r="J27" s="552"/>
      <c r="K27" s="552" t="s">
        <v>15</v>
      </c>
      <c r="L27" s="552"/>
      <c r="M27" s="552" t="s">
        <v>15</v>
      </c>
      <c r="N27" s="340">
        <v>5.9</v>
      </c>
      <c r="O27" s="340">
        <v>2.95</v>
      </c>
      <c r="P27" s="552" t="s">
        <v>15</v>
      </c>
      <c r="Q27" s="553">
        <v>25</v>
      </c>
      <c r="R27" s="553" t="s">
        <v>341</v>
      </c>
      <c r="S27" s="553" t="s">
        <v>224</v>
      </c>
      <c r="T27" s="332">
        <f t="shared" si="0"/>
        <v>67.849999999999994</v>
      </c>
      <c r="U27" s="505">
        <f>'[2]Прайс опт кратко'!$U$27*1.15</f>
        <v>1696.25</v>
      </c>
      <c r="V27" s="558">
        <f t="shared" si="1"/>
        <v>1951</v>
      </c>
      <c r="W27" s="558">
        <f t="shared" si="2"/>
        <v>2206</v>
      </c>
    </row>
    <row r="28" spans="1:23" ht="40.5" customHeight="1">
      <c r="A28" s="1144">
        <v>6</v>
      </c>
      <c r="B28" s="1145" t="s">
        <v>372</v>
      </c>
      <c r="C28" s="1113" t="s">
        <v>334</v>
      </c>
      <c r="D28" s="527"/>
      <c r="E28" s="1130" t="s">
        <v>15</v>
      </c>
      <c r="F28" s="557">
        <v>300</v>
      </c>
      <c r="G28" s="557">
        <v>300</v>
      </c>
      <c r="H28" s="557">
        <v>200</v>
      </c>
      <c r="I28" s="557">
        <v>200</v>
      </c>
      <c r="J28" s="557"/>
      <c r="K28" s="1130" t="s">
        <v>15</v>
      </c>
      <c r="L28" s="557"/>
      <c r="M28" s="1108" t="s">
        <v>15</v>
      </c>
      <c r="N28" s="335">
        <f>T28/(1000/F28)</f>
        <v>22.76</v>
      </c>
      <c r="O28" s="335">
        <f>T28/(1000/H28)</f>
        <v>15.17</v>
      </c>
      <c r="P28" s="1113" t="s">
        <v>15</v>
      </c>
      <c r="Q28" s="555">
        <v>48</v>
      </c>
      <c r="R28" s="1105" t="s">
        <v>410</v>
      </c>
      <c r="S28" s="557" t="s">
        <v>226</v>
      </c>
      <c r="T28" s="336">
        <f t="shared" si="0"/>
        <v>75.849999999999994</v>
      </c>
      <c r="U28" s="508" t="s">
        <v>442</v>
      </c>
      <c r="V28" s="337">
        <f t="shared" si="1"/>
        <v>4188</v>
      </c>
      <c r="W28" s="337">
        <f t="shared" si="2"/>
        <v>4734</v>
      </c>
    </row>
    <row r="29" spans="1:23" ht="32.25" customHeight="1">
      <c r="A29" s="1144"/>
      <c r="B29" s="1145"/>
      <c r="C29" s="1114"/>
      <c r="D29" s="528"/>
      <c r="E29" s="1130"/>
      <c r="F29" s="557">
        <v>103</v>
      </c>
      <c r="G29" s="1130" t="s">
        <v>377</v>
      </c>
      <c r="H29" s="557">
        <v>69</v>
      </c>
      <c r="I29" s="1113" t="s">
        <v>378</v>
      </c>
      <c r="J29" s="527"/>
      <c r="K29" s="1130"/>
      <c r="L29" s="557"/>
      <c r="M29" s="1109"/>
      <c r="N29" s="335">
        <f>T29/(1000/F29)</f>
        <v>18.649999999999999</v>
      </c>
      <c r="O29" s="335">
        <f>T29/(1000/H29)</f>
        <v>12.5</v>
      </c>
      <c r="P29" s="1114"/>
      <c r="Q29" s="555">
        <v>65</v>
      </c>
      <c r="R29" s="1107"/>
      <c r="S29" s="555" t="s">
        <v>229</v>
      </c>
      <c r="T29" s="336">
        <f t="shared" si="0"/>
        <v>181.1</v>
      </c>
      <c r="U29" s="509">
        <f>'[2]Прайс опт кратко'!$U$29*1.15</f>
        <v>11771.4</v>
      </c>
      <c r="V29" s="337">
        <f t="shared" si="1"/>
        <v>13538</v>
      </c>
      <c r="W29" s="337">
        <f t="shared" si="2"/>
        <v>15303</v>
      </c>
    </row>
    <row r="30" spans="1:23" ht="32.25" customHeight="1">
      <c r="A30" s="1144"/>
      <c r="B30" s="1145"/>
      <c r="C30" s="1114"/>
      <c r="D30" s="528"/>
      <c r="E30" s="1130"/>
      <c r="F30" s="557">
        <v>103</v>
      </c>
      <c r="G30" s="1130"/>
      <c r="H30" s="557">
        <v>69</v>
      </c>
      <c r="I30" s="1114"/>
      <c r="J30" s="528"/>
      <c r="K30" s="1130"/>
      <c r="L30" s="557"/>
      <c r="M30" s="1109"/>
      <c r="N30" s="335">
        <f>T30/(1000/F30)</f>
        <v>19.96</v>
      </c>
      <c r="O30" s="335">
        <f>T30/(1000/H30)</f>
        <v>13.37</v>
      </c>
      <c r="P30" s="1114"/>
      <c r="Q30" s="555">
        <v>16</v>
      </c>
      <c r="R30" s="1105" t="s">
        <v>411</v>
      </c>
      <c r="S30" s="555" t="s">
        <v>230</v>
      </c>
      <c r="T30" s="336">
        <f t="shared" si="0"/>
        <v>193.78</v>
      </c>
      <c r="U30" s="509">
        <f>'[2]Прайс опт кратко'!$U$30*1.15</f>
        <v>3100.4</v>
      </c>
      <c r="V30" s="337">
        <f t="shared" si="1"/>
        <v>3566</v>
      </c>
      <c r="W30" s="337">
        <f t="shared" si="2"/>
        <v>4031</v>
      </c>
    </row>
    <row r="31" spans="1:23" ht="30.75" customHeight="1">
      <c r="A31" s="1144"/>
      <c r="B31" s="1145"/>
      <c r="C31" s="1115"/>
      <c r="D31" s="529"/>
      <c r="E31" s="1130"/>
      <c r="F31" s="557">
        <v>103</v>
      </c>
      <c r="G31" s="1130"/>
      <c r="H31" s="557">
        <v>69</v>
      </c>
      <c r="I31" s="1115"/>
      <c r="J31" s="529"/>
      <c r="K31" s="1130"/>
      <c r="L31" s="557"/>
      <c r="M31" s="1110"/>
      <c r="N31" s="335">
        <f>T31/(1000/F31)</f>
        <v>21.37</v>
      </c>
      <c r="O31" s="335">
        <f>T31/(1000/H31)</f>
        <v>14.31</v>
      </c>
      <c r="P31" s="1115"/>
      <c r="Q31" s="555">
        <v>5</v>
      </c>
      <c r="R31" s="1107"/>
      <c r="S31" s="555" t="s">
        <v>231</v>
      </c>
      <c r="T31" s="336">
        <f t="shared" si="0"/>
        <v>207.46</v>
      </c>
      <c r="U31" s="509">
        <f>'[2]Прайс опт кратко'!$U$31*1.15</f>
        <v>1037.3</v>
      </c>
      <c r="V31" s="337">
        <f t="shared" si="1"/>
        <v>1193</v>
      </c>
      <c r="W31" s="337">
        <f t="shared" si="2"/>
        <v>1349</v>
      </c>
    </row>
    <row r="32" spans="1:23" ht="25.5" customHeight="1">
      <c r="A32" s="1140">
        <v>7</v>
      </c>
      <c r="B32" s="1146" t="s">
        <v>373</v>
      </c>
      <c r="C32" s="1132" t="s">
        <v>6</v>
      </c>
      <c r="D32" s="530"/>
      <c r="E32" s="1151" t="s">
        <v>232</v>
      </c>
      <c r="F32" s="1152"/>
      <c r="G32" s="1152"/>
      <c r="H32" s="1152"/>
      <c r="I32" s="1152"/>
      <c r="J32" s="1152"/>
      <c r="K32" s="1153"/>
      <c r="L32" s="531"/>
      <c r="M32" s="1102" t="str">
        <f>CONCATENATE(ROUND(T32*0.1,2),"-",ROUND(T32*0.23,2))</f>
        <v>14,6-33,58</v>
      </c>
      <c r="N32" s="1103"/>
      <c r="O32" s="1103"/>
      <c r="P32" s="1104"/>
      <c r="Q32" s="553">
        <v>9.5</v>
      </c>
      <c r="R32" s="553" t="s">
        <v>411</v>
      </c>
      <c r="S32" s="553" t="s">
        <v>233</v>
      </c>
      <c r="T32" s="332">
        <f t="shared" si="0"/>
        <v>145.99</v>
      </c>
      <c r="U32" s="505">
        <f>'[2]Прайс опт кратко'!$U$32*1.15</f>
        <v>1386.9</v>
      </c>
      <c r="V32" s="558">
        <f t="shared" si="1"/>
        <v>1595</v>
      </c>
      <c r="W32" s="558">
        <f t="shared" si="2"/>
        <v>1803</v>
      </c>
    </row>
    <row r="33" spans="1:24" ht="27.75" customHeight="1">
      <c r="A33" s="1140"/>
      <c r="B33" s="1146"/>
      <c r="C33" s="1133"/>
      <c r="D33" s="542"/>
      <c r="E33" s="1154"/>
      <c r="F33" s="1155"/>
      <c r="G33" s="1155"/>
      <c r="H33" s="1155"/>
      <c r="I33" s="1155"/>
      <c r="J33" s="1155"/>
      <c r="K33" s="1156"/>
      <c r="L33" s="543"/>
      <c r="M33" s="1102" t="str">
        <f>CONCATENATE(ROUND(T33*0.1,2),"-",ROUND(T33*0.23,2))</f>
        <v>13,64-31,37</v>
      </c>
      <c r="N33" s="1103"/>
      <c r="O33" s="1103"/>
      <c r="P33" s="1104"/>
      <c r="Q33" s="553">
        <v>21</v>
      </c>
      <c r="R33" s="1111" t="s">
        <v>410</v>
      </c>
      <c r="S33" s="553" t="s">
        <v>234</v>
      </c>
      <c r="T33" s="332">
        <f t="shared" si="0"/>
        <v>136.41</v>
      </c>
      <c r="U33" s="505">
        <f>'[2]Прайс опт кратко'!$U$33*1.15</f>
        <v>2864.65</v>
      </c>
      <c r="V33" s="558">
        <f t="shared" si="1"/>
        <v>3295</v>
      </c>
      <c r="W33" s="558">
        <f t="shared" si="2"/>
        <v>3725</v>
      </c>
    </row>
    <row r="34" spans="1:24" ht="27.75" customHeight="1">
      <c r="A34" s="1140"/>
      <c r="B34" s="1146"/>
      <c r="C34" s="1134"/>
      <c r="D34" s="532"/>
      <c r="E34" s="1157"/>
      <c r="F34" s="1158"/>
      <c r="G34" s="1158"/>
      <c r="H34" s="1158"/>
      <c r="I34" s="1158"/>
      <c r="J34" s="1158"/>
      <c r="K34" s="1159"/>
      <c r="L34" s="533"/>
      <c r="M34" s="1102" t="str">
        <f>CONCATENATE(ROUND(T34*0.1,2),"-",ROUND(T34*0.23,2))</f>
        <v>12,75-29,32</v>
      </c>
      <c r="N34" s="1103"/>
      <c r="O34" s="1103"/>
      <c r="P34" s="1104"/>
      <c r="Q34" s="553">
        <v>43</v>
      </c>
      <c r="R34" s="1112"/>
      <c r="S34" s="553" t="s">
        <v>235</v>
      </c>
      <c r="T34" s="332">
        <f t="shared" si="0"/>
        <v>127.49</v>
      </c>
      <c r="U34" s="505">
        <f>'[2]Прайс опт кратко'!$U$34*1.15</f>
        <v>5482.05</v>
      </c>
      <c r="V34" s="558">
        <f t="shared" si="1"/>
        <v>6305</v>
      </c>
      <c r="W34" s="558">
        <f t="shared" si="2"/>
        <v>7127</v>
      </c>
    </row>
    <row r="35" spans="1:24" ht="26.25" customHeight="1">
      <c r="A35" s="1144">
        <v>8</v>
      </c>
      <c r="B35" s="1145" t="s">
        <v>374</v>
      </c>
      <c r="C35" s="1113" t="s">
        <v>6</v>
      </c>
      <c r="D35" s="534"/>
      <c r="E35" s="1160" t="s">
        <v>193</v>
      </c>
      <c r="F35" s="1161"/>
      <c r="G35" s="1161"/>
      <c r="H35" s="1161"/>
      <c r="I35" s="1161"/>
      <c r="J35" s="1161"/>
      <c r="K35" s="1162"/>
      <c r="L35" s="535"/>
      <c r="M35" s="1088" t="str">
        <f t="shared" ref="M35:M40" si="3">CONCATENATE(ROUND(T35*0.15,2),"-",ROUND(T35*0.35,2))</f>
        <v>23,02-53,72</v>
      </c>
      <c r="N35" s="1101"/>
      <c r="O35" s="1101"/>
      <c r="P35" s="1091"/>
      <c r="Q35" s="555">
        <v>9.5</v>
      </c>
      <c r="R35" s="555" t="s">
        <v>411</v>
      </c>
      <c r="S35" s="555" t="s">
        <v>233</v>
      </c>
      <c r="T35" s="336">
        <f t="shared" si="0"/>
        <v>153.49</v>
      </c>
      <c r="U35" s="505">
        <f>'[2]Прайс опт кратко'!$U$35*1.15</f>
        <v>1458.2</v>
      </c>
      <c r="V35" s="337">
        <f t="shared" si="1"/>
        <v>1677</v>
      </c>
      <c r="W35" s="337">
        <f t="shared" si="2"/>
        <v>1896</v>
      </c>
    </row>
    <row r="36" spans="1:24" ht="28.5" customHeight="1">
      <c r="A36" s="1144"/>
      <c r="B36" s="1145"/>
      <c r="C36" s="1114"/>
      <c r="D36" s="538"/>
      <c r="E36" s="1163"/>
      <c r="F36" s="1164"/>
      <c r="G36" s="1164"/>
      <c r="H36" s="1164"/>
      <c r="I36" s="1164"/>
      <c r="J36" s="1164"/>
      <c r="K36" s="1165"/>
      <c r="L36" s="539"/>
      <c r="M36" s="1088" t="str">
        <f t="shared" si="3"/>
        <v>21,51-50,2</v>
      </c>
      <c r="N36" s="1101"/>
      <c r="O36" s="1101"/>
      <c r="P36" s="1091"/>
      <c r="Q36" s="555">
        <v>21</v>
      </c>
      <c r="R36" s="1105" t="s">
        <v>410</v>
      </c>
      <c r="S36" s="555" t="s">
        <v>234</v>
      </c>
      <c r="T36" s="336">
        <f t="shared" si="0"/>
        <v>143.41999999999999</v>
      </c>
      <c r="U36" s="505">
        <f>'[2]Прайс опт полный '!$U$36*1.15</f>
        <v>3011.85</v>
      </c>
      <c r="V36" s="337">
        <f t="shared" si="1"/>
        <v>3464</v>
      </c>
      <c r="W36" s="337">
        <f t="shared" si="2"/>
        <v>3916</v>
      </c>
    </row>
    <row r="37" spans="1:24" ht="27" customHeight="1">
      <c r="A37" s="1144"/>
      <c r="B37" s="1145"/>
      <c r="C37" s="1115"/>
      <c r="D37" s="536"/>
      <c r="E37" s="1166"/>
      <c r="F37" s="1167"/>
      <c r="G37" s="1167"/>
      <c r="H37" s="1167"/>
      <c r="I37" s="1167"/>
      <c r="J37" s="1167"/>
      <c r="K37" s="1168"/>
      <c r="L37" s="537"/>
      <c r="M37" s="1088" t="str">
        <f t="shared" si="3"/>
        <v>20,1-46,91</v>
      </c>
      <c r="N37" s="1101"/>
      <c r="O37" s="1101"/>
      <c r="P37" s="1091"/>
      <c r="Q37" s="555">
        <v>43</v>
      </c>
      <c r="R37" s="1107"/>
      <c r="S37" s="555" t="s">
        <v>235</v>
      </c>
      <c r="T37" s="336">
        <f t="shared" si="0"/>
        <v>134.02000000000001</v>
      </c>
      <c r="U37" s="505">
        <f>'[2]Прайс опт кратко'!$U$37*1.15</f>
        <v>5762.65</v>
      </c>
      <c r="V37" s="337">
        <f t="shared" si="1"/>
        <v>6628</v>
      </c>
      <c r="W37" s="337">
        <f>ROUNDUP(U37*1.3,0)</f>
        <v>7492</v>
      </c>
    </row>
    <row r="38" spans="1:24" ht="18.75" customHeight="1">
      <c r="A38" s="1111">
        <v>9</v>
      </c>
      <c r="B38" s="1169" t="s">
        <v>375</v>
      </c>
      <c r="C38" s="1132" t="s">
        <v>6</v>
      </c>
      <c r="D38" s="538"/>
      <c r="E38" s="1151" t="s">
        <v>193</v>
      </c>
      <c r="F38" s="1152"/>
      <c r="G38" s="1152"/>
      <c r="H38" s="1152"/>
      <c r="I38" s="1152"/>
      <c r="J38" s="1152"/>
      <c r="K38" s="1153"/>
      <c r="L38" s="539"/>
      <c r="M38" s="1102" t="str">
        <f t="shared" si="3"/>
        <v>21,9-51,1</v>
      </c>
      <c r="N38" s="1103"/>
      <c r="O38" s="1103"/>
      <c r="P38" s="1104"/>
      <c r="Q38" s="555">
        <v>9.5</v>
      </c>
      <c r="R38" s="553" t="s">
        <v>411</v>
      </c>
      <c r="S38" s="406" t="s">
        <v>342</v>
      </c>
      <c r="T38" s="352">
        <f t="shared" si="0"/>
        <v>145.99</v>
      </c>
      <c r="U38" s="505">
        <f>'[2]Прайс опт кратко'!$U$38*1.15</f>
        <v>1386.9</v>
      </c>
      <c r="V38" s="337"/>
      <c r="W38" s="337"/>
    </row>
    <row r="39" spans="1:24" ht="19.5" customHeight="1">
      <c r="A39" s="1150"/>
      <c r="B39" s="1170"/>
      <c r="C39" s="1133"/>
      <c r="D39" s="530"/>
      <c r="E39" s="1154"/>
      <c r="F39" s="1155"/>
      <c r="G39" s="1155"/>
      <c r="H39" s="1155"/>
      <c r="I39" s="1155"/>
      <c r="J39" s="1155"/>
      <c r="K39" s="1156"/>
      <c r="L39" s="531"/>
      <c r="M39" s="1102" t="str">
        <f t="shared" si="3"/>
        <v>20,46-47,74</v>
      </c>
      <c r="N39" s="1103"/>
      <c r="O39" s="1103"/>
      <c r="P39" s="1104"/>
      <c r="Q39" s="553">
        <v>21</v>
      </c>
      <c r="R39" s="1111" t="s">
        <v>410</v>
      </c>
      <c r="S39" s="553" t="s">
        <v>161</v>
      </c>
      <c r="T39" s="332">
        <f t="shared" si="0"/>
        <v>136.41</v>
      </c>
      <c r="U39" s="505">
        <f>'[2]Прайс опт кратко'!$U$42*1.15</f>
        <v>2864.65</v>
      </c>
      <c r="V39" s="558">
        <f t="shared" si="1"/>
        <v>3295</v>
      </c>
      <c r="W39" s="558">
        <f>ROUNDUP(U39*1.3,0)</f>
        <v>3725</v>
      </c>
    </row>
    <row r="40" spans="1:24" ht="27" customHeight="1">
      <c r="A40" s="1112"/>
      <c r="B40" s="1171"/>
      <c r="C40" s="1134"/>
      <c r="D40" s="532"/>
      <c r="E40" s="1157"/>
      <c r="F40" s="1158"/>
      <c r="G40" s="1158"/>
      <c r="H40" s="1158"/>
      <c r="I40" s="1158"/>
      <c r="J40" s="1158"/>
      <c r="K40" s="1159"/>
      <c r="L40" s="533"/>
      <c r="M40" s="1102" t="str">
        <f t="shared" si="3"/>
        <v>19,12-44,62</v>
      </c>
      <c r="N40" s="1103"/>
      <c r="O40" s="1103"/>
      <c r="P40" s="1104"/>
      <c r="Q40" s="553">
        <v>43</v>
      </c>
      <c r="R40" s="1112"/>
      <c r="S40" s="553" t="s">
        <v>236</v>
      </c>
      <c r="T40" s="332">
        <f t="shared" si="0"/>
        <v>127.49</v>
      </c>
      <c r="U40" s="505">
        <f>'[2]Прайс опт кратко'!$U$40*1.15</f>
        <v>5482.05</v>
      </c>
      <c r="V40" s="558">
        <f t="shared" si="1"/>
        <v>6305</v>
      </c>
      <c r="W40" s="558">
        <f>ROUNDUP(U40*1.3,0)</f>
        <v>7127</v>
      </c>
    </row>
    <row r="41" spans="1:24" ht="18.75" customHeight="1">
      <c r="A41" s="1144">
        <v>10</v>
      </c>
      <c r="B41" s="1145" t="s">
        <v>376</v>
      </c>
      <c r="C41" s="1113" t="s">
        <v>6</v>
      </c>
      <c r="D41" s="534"/>
      <c r="E41" s="1160" t="s">
        <v>237</v>
      </c>
      <c r="F41" s="1161"/>
      <c r="G41" s="1161"/>
      <c r="H41" s="1161"/>
      <c r="I41" s="1161"/>
      <c r="J41" s="1161"/>
      <c r="K41" s="1162"/>
      <c r="L41" s="535"/>
      <c r="M41" s="1088" t="str">
        <f>CONCATENATE(ROUND(T41*2.5,2),"-",ROUND(T41*4.5,2))</f>
        <v>364,98-656,96</v>
      </c>
      <c r="N41" s="1101"/>
      <c r="O41" s="1101"/>
      <c r="P41" s="1091"/>
      <c r="Q41" s="555">
        <v>9.5</v>
      </c>
      <c r="R41" s="555" t="s">
        <v>411</v>
      </c>
      <c r="S41" s="555" t="s">
        <v>233</v>
      </c>
      <c r="T41" s="336">
        <f t="shared" si="0"/>
        <v>145.99</v>
      </c>
      <c r="U41" s="505">
        <f>'[2]Прайс опт кратко'!$U$41*1.15</f>
        <v>1386.9</v>
      </c>
      <c r="V41" s="337">
        <f t="shared" si="1"/>
        <v>1595</v>
      </c>
      <c r="W41" s="337">
        <f t="shared" ref="W41:W70" si="4">ROUNDUP(U41*1.3,0)</f>
        <v>1803</v>
      </c>
    </row>
    <row r="42" spans="1:24" ht="19.5" customHeight="1">
      <c r="A42" s="1144"/>
      <c r="B42" s="1145"/>
      <c r="C42" s="1114"/>
      <c r="D42" s="538"/>
      <c r="E42" s="1163"/>
      <c r="F42" s="1164"/>
      <c r="G42" s="1164"/>
      <c r="H42" s="1164"/>
      <c r="I42" s="1164"/>
      <c r="J42" s="1164"/>
      <c r="K42" s="1165"/>
      <c r="L42" s="539"/>
      <c r="M42" s="1088" t="str">
        <f>CONCATENATE(ROUND(T42*2.5,2),"-",ROUND(T42*4.5,2))</f>
        <v>341,03-613,85</v>
      </c>
      <c r="N42" s="1101"/>
      <c r="O42" s="1101"/>
      <c r="P42" s="1091"/>
      <c r="Q42" s="555">
        <v>21</v>
      </c>
      <c r="R42" s="1105" t="s">
        <v>410</v>
      </c>
      <c r="S42" s="555" t="s">
        <v>161</v>
      </c>
      <c r="T42" s="336">
        <f t="shared" si="0"/>
        <v>136.41</v>
      </c>
      <c r="U42" s="505">
        <f>'[2]Прайс опт кратко'!$U$42*1.15</f>
        <v>2864.65</v>
      </c>
      <c r="V42" s="337">
        <f t="shared" si="1"/>
        <v>3295</v>
      </c>
      <c r="W42" s="337">
        <f t="shared" si="4"/>
        <v>3725</v>
      </c>
    </row>
    <row r="43" spans="1:24" ht="22.5" customHeight="1">
      <c r="A43" s="1144"/>
      <c r="B43" s="1145"/>
      <c r="C43" s="1115"/>
      <c r="D43" s="536"/>
      <c r="E43" s="1166"/>
      <c r="F43" s="1167"/>
      <c r="G43" s="1167"/>
      <c r="H43" s="1167"/>
      <c r="I43" s="1167"/>
      <c r="J43" s="1167"/>
      <c r="K43" s="1168"/>
      <c r="L43" s="537"/>
      <c r="M43" s="1088" t="str">
        <f>CONCATENATE(ROUND(T43*2.5,2),"-",ROUND(T43*4.5,2))</f>
        <v>318,73-573,71</v>
      </c>
      <c r="N43" s="1101"/>
      <c r="O43" s="1101"/>
      <c r="P43" s="1091"/>
      <c r="Q43" s="555">
        <v>43</v>
      </c>
      <c r="R43" s="1107"/>
      <c r="S43" s="555" t="s">
        <v>236</v>
      </c>
      <c r="T43" s="336">
        <f t="shared" si="0"/>
        <v>127.49</v>
      </c>
      <c r="U43" s="505">
        <f>'[2]Прайс опт кратко'!$U$43*1.15</f>
        <v>5482.05</v>
      </c>
      <c r="V43" s="337">
        <f t="shared" si="1"/>
        <v>6305</v>
      </c>
      <c r="W43" s="337">
        <f t="shared" si="4"/>
        <v>7127</v>
      </c>
    </row>
    <row r="44" spans="1:24" ht="99" customHeight="1">
      <c r="A44" s="553">
        <v>11</v>
      </c>
      <c r="B44" s="563" t="s">
        <v>359</v>
      </c>
      <c r="C44" s="563" t="s">
        <v>397</v>
      </c>
      <c r="D44" s="343"/>
      <c r="E44" s="1102" t="s">
        <v>239</v>
      </c>
      <c r="F44" s="1103"/>
      <c r="G44" s="1103"/>
      <c r="H44" s="1103"/>
      <c r="I44" s="1103"/>
      <c r="J44" s="1103"/>
      <c r="K44" s="1104"/>
      <c r="L44" s="548"/>
      <c r="M44" s="1102">
        <f>T44*1.7</f>
        <v>584.54499999999996</v>
      </c>
      <c r="N44" s="1103"/>
      <c r="O44" s="1103"/>
      <c r="P44" s="1104"/>
      <c r="Q44" s="553">
        <v>40</v>
      </c>
      <c r="R44" s="553" t="s">
        <v>410</v>
      </c>
      <c r="S44" s="553" t="s">
        <v>240</v>
      </c>
      <c r="T44" s="332">
        <f t="shared" si="0"/>
        <v>343.85</v>
      </c>
      <c r="U44" s="505">
        <f>'[2]Прайс опт кратко'!$U$44*1.15</f>
        <v>13754</v>
      </c>
      <c r="V44" s="558">
        <f t="shared" si="1"/>
        <v>15818</v>
      </c>
      <c r="W44" s="558">
        <f t="shared" si="4"/>
        <v>17881</v>
      </c>
      <c r="X44" s="11"/>
    </row>
    <row r="45" spans="1:24" ht="51.75" customHeight="1">
      <c r="A45" s="555">
        <v>12</v>
      </c>
      <c r="B45" s="556" t="s">
        <v>408</v>
      </c>
      <c r="C45" s="556"/>
      <c r="D45" s="344"/>
      <c r="E45" s="1088" t="s">
        <v>242</v>
      </c>
      <c r="F45" s="1101"/>
      <c r="G45" s="1101"/>
      <c r="H45" s="1101"/>
      <c r="I45" s="1101"/>
      <c r="J45" s="1101"/>
      <c r="K45" s="1091"/>
      <c r="L45" s="545"/>
      <c r="M45" s="1088" t="s">
        <v>336</v>
      </c>
      <c r="N45" s="1101"/>
      <c r="O45" s="1101"/>
      <c r="P45" s="1091"/>
      <c r="Q45" s="555">
        <v>6.6</v>
      </c>
      <c r="R45" s="557" t="s">
        <v>344</v>
      </c>
      <c r="S45" s="555" t="s">
        <v>243</v>
      </c>
      <c r="T45" s="336">
        <f t="shared" si="0"/>
        <v>69</v>
      </c>
      <c r="U45" s="505">
        <f>'[2]Прайс опт кратко'!$U$45*1.15</f>
        <v>455.4</v>
      </c>
      <c r="V45" s="337">
        <f>ROUNDUP(U45*1.15,0)</f>
        <v>524</v>
      </c>
      <c r="W45" s="337">
        <f t="shared" si="4"/>
        <v>593</v>
      </c>
    </row>
    <row r="46" spans="1:24" ht="105" customHeight="1">
      <c r="A46" s="358"/>
      <c r="B46" s="566" t="s">
        <v>55</v>
      </c>
      <c r="C46" s="566" t="s">
        <v>335</v>
      </c>
      <c r="D46" s="566"/>
      <c r="E46" s="1098" t="s">
        <v>218</v>
      </c>
      <c r="F46" s="1099"/>
      <c r="G46" s="1099"/>
      <c r="H46" s="1099"/>
      <c r="I46" s="1099"/>
      <c r="J46" s="1099"/>
      <c r="K46" s="1100"/>
      <c r="L46" s="359"/>
      <c r="M46" s="1098" t="s">
        <v>337</v>
      </c>
      <c r="N46" s="1099"/>
      <c r="O46" s="1099"/>
      <c r="P46" s="1100"/>
      <c r="Q46" s="526"/>
      <c r="R46" s="566" t="s">
        <v>323</v>
      </c>
      <c r="S46" s="566" t="s">
        <v>288</v>
      </c>
      <c r="T46" s="566" t="s">
        <v>256</v>
      </c>
      <c r="U46" s="569" t="s">
        <v>354</v>
      </c>
      <c r="V46" s="357"/>
      <c r="W46" s="357"/>
    </row>
    <row r="47" spans="1:24" ht="26.25">
      <c r="A47" s="1198" t="s">
        <v>244</v>
      </c>
      <c r="B47" s="1198"/>
      <c r="C47" s="1198"/>
      <c r="D47" s="1198"/>
      <c r="E47" s="1198"/>
      <c r="F47" s="1198"/>
      <c r="G47" s="1198"/>
      <c r="H47" s="1198"/>
      <c r="I47" s="1198"/>
      <c r="J47" s="1198"/>
      <c r="K47" s="1198"/>
      <c r="L47" s="1198"/>
      <c r="M47" s="1198"/>
      <c r="N47" s="1198"/>
      <c r="O47" s="1198"/>
      <c r="P47" s="1198"/>
      <c r="Q47" s="1198"/>
      <c r="R47" s="1198"/>
      <c r="S47" s="1198"/>
      <c r="T47" s="1198"/>
      <c r="U47" s="1198"/>
      <c r="V47" s="1198"/>
      <c r="W47" s="1198"/>
    </row>
    <row r="48" spans="1:24" ht="27.75" customHeight="1">
      <c r="A48" s="1140">
        <v>13</v>
      </c>
      <c r="B48" s="1180" t="s">
        <v>417</v>
      </c>
      <c r="C48" s="1132" t="s">
        <v>33</v>
      </c>
      <c r="D48" s="549">
        <v>120</v>
      </c>
      <c r="E48" s="1151">
        <v>120</v>
      </c>
      <c r="F48" s="1152"/>
      <c r="G48" s="1152"/>
      <c r="H48" s="1152"/>
      <c r="I48" s="1152"/>
      <c r="J48" s="1152"/>
      <c r="K48" s="1153"/>
      <c r="L48" s="547"/>
      <c r="M48" s="1211">
        <f>T48/(1000/D48)</f>
        <v>11.62</v>
      </c>
      <c r="N48" s="1212"/>
      <c r="O48" s="1212"/>
      <c r="P48" s="1213"/>
      <c r="Q48" s="553">
        <v>43</v>
      </c>
      <c r="R48" s="1111" t="s">
        <v>410</v>
      </c>
      <c r="S48" s="553" t="s">
        <v>236</v>
      </c>
      <c r="T48" s="332">
        <f>U48/Q48</f>
        <v>96.87</v>
      </c>
      <c r="U48" s="505">
        <f>'[2]Прайс опт кратко'!$U$48*1.15</f>
        <v>4165.3</v>
      </c>
      <c r="V48" s="558">
        <f t="shared" si="1"/>
        <v>4791</v>
      </c>
      <c r="W48" s="558">
        <f t="shared" si="4"/>
        <v>5415</v>
      </c>
    </row>
    <row r="49" spans="1:23" ht="20.25" customHeight="1">
      <c r="A49" s="1140"/>
      <c r="B49" s="1146"/>
      <c r="C49" s="1133"/>
      <c r="D49" s="550">
        <v>120</v>
      </c>
      <c r="E49" s="1154"/>
      <c r="F49" s="1155"/>
      <c r="G49" s="1155"/>
      <c r="H49" s="1155"/>
      <c r="I49" s="1155"/>
      <c r="J49" s="1155"/>
      <c r="K49" s="1156"/>
      <c r="L49" s="547"/>
      <c r="M49" s="1211">
        <f>T49/(1000/D49)</f>
        <v>12.44</v>
      </c>
      <c r="N49" s="1212"/>
      <c r="O49" s="1212"/>
      <c r="P49" s="1213"/>
      <c r="Q49" s="553">
        <v>21</v>
      </c>
      <c r="R49" s="1112"/>
      <c r="S49" s="334" t="s">
        <v>161</v>
      </c>
      <c r="T49" s="332">
        <f>U49/Q49</f>
        <v>103.66</v>
      </c>
      <c r="U49" s="568">
        <f>'[2]Прайс опт кратко'!$U$49*1.15</f>
        <v>2176.9499999999998</v>
      </c>
      <c r="V49" s="558">
        <f t="shared" si="1"/>
        <v>2504</v>
      </c>
      <c r="W49" s="558">
        <f t="shared" si="4"/>
        <v>2831</v>
      </c>
    </row>
    <row r="50" spans="1:23" ht="21.75" customHeight="1">
      <c r="A50" s="1140"/>
      <c r="B50" s="1146"/>
      <c r="C50" s="1133"/>
      <c r="D50" s="550"/>
      <c r="E50" s="1154"/>
      <c r="F50" s="1155"/>
      <c r="G50" s="1155"/>
      <c r="H50" s="1155"/>
      <c r="I50" s="1155"/>
      <c r="J50" s="1155"/>
      <c r="K50" s="1156"/>
      <c r="L50" s="530"/>
      <c r="M50" s="1151" t="s">
        <v>15</v>
      </c>
      <c r="N50" s="1152"/>
      <c r="O50" s="1152"/>
      <c r="P50" s="1153"/>
      <c r="Q50" s="553">
        <v>2.7</v>
      </c>
      <c r="R50" s="1111" t="s">
        <v>412</v>
      </c>
      <c r="S50" s="345" t="s">
        <v>139</v>
      </c>
      <c r="T50" s="332">
        <f>U50/Q50</f>
        <v>118.83</v>
      </c>
      <c r="U50" s="568">
        <f>'[2]Прайс опт кратко'!$U$50*1.15</f>
        <v>320.85000000000002</v>
      </c>
      <c r="V50" s="558">
        <f t="shared" si="1"/>
        <v>369</v>
      </c>
      <c r="W50" s="558">
        <f t="shared" si="4"/>
        <v>418</v>
      </c>
    </row>
    <row r="51" spans="1:23" ht="19.5" customHeight="1">
      <c r="A51" s="1140"/>
      <c r="B51" s="1146"/>
      <c r="C51" s="1134"/>
      <c r="D51" s="551"/>
      <c r="E51" s="1157"/>
      <c r="F51" s="1158"/>
      <c r="G51" s="1158"/>
      <c r="H51" s="1158"/>
      <c r="I51" s="1158"/>
      <c r="J51" s="1158"/>
      <c r="K51" s="1159"/>
      <c r="L51" s="532"/>
      <c r="M51" s="1157"/>
      <c r="N51" s="1158"/>
      <c r="O51" s="1158"/>
      <c r="P51" s="1159"/>
      <c r="Q51" s="553">
        <v>0.95</v>
      </c>
      <c r="R51" s="1112"/>
      <c r="S51" s="345" t="s">
        <v>140</v>
      </c>
      <c r="T51" s="332">
        <f>U51/Q51</f>
        <v>127.11</v>
      </c>
      <c r="U51" s="568">
        <f>'[2]Прайс опт кратко'!$U$51*1.15</f>
        <v>120.75</v>
      </c>
      <c r="V51" s="558">
        <f t="shared" si="1"/>
        <v>139</v>
      </c>
      <c r="W51" s="558">
        <f t="shared" si="4"/>
        <v>157</v>
      </c>
    </row>
    <row r="52" spans="1:23" ht="24.75" customHeight="1">
      <c r="A52" s="1144">
        <v>14</v>
      </c>
      <c r="B52" s="1172" t="s">
        <v>418</v>
      </c>
      <c r="C52" s="1113" t="s">
        <v>33</v>
      </c>
      <c r="D52" s="527">
        <v>120</v>
      </c>
      <c r="E52" s="1160">
        <v>120</v>
      </c>
      <c r="F52" s="1161"/>
      <c r="G52" s="1161"/>
      <c r="H52" s="1161"/>
      <c r="I52" s="1161"/>
      <c r="J52" s="1161"/>
      <c r="K52" s="1162"/>
      <c r="L52" s="544"/>
      <c r="M52" s="1096">
        <f>T52/(1000/D52)</f>
        <v>10.11</v>
      </c>
      <c r="N52" s="1210"/>
      <c r="O52" s="1210"/>
      <c r="P52" s="1097"/>
      <c r="Q52" s="555">
        <v>43</v>
      </c>
      <c r="R52" s="1105" t="s">
        <v>410</v>
      </c>
      <c r="S52" s="555" t="s">
        <v>236</v>
      </c>
      <c r="T52" s="336">
        <v>84.23</v>
      </c>
      <c r="U52" s="505">
        <f>'[2]Прайс опт кратко'!$U$52*1.15</f>
        <v>4165.3</v>
      </c>
      <c r="V52" s="558">
        <v>4166</v>
      </c>
      <c r="W52" s="558">
        <v>4709</v>
      </c>
    </row>
    <row r="53" spans="1:23" ht="24.75">
      <c r="A53" s="1144"/>
      <c r="B53" s="1173"/>
      <c r="C53" s="1114"/>
      <c r="D53" s="528">
        <v>120</v>
      </c>
      <c r="E53" s="1163"/>
      <c r="F53" s="1164"/>
      <c r="G53" s="1164"/>
      <c r="H53" s="1164"/>
      <c r="I53" s="1164"/>
      <c r="J53" s="1164"/>
      <c r="K53" s="1165"/>
      <c r="L53" s="544"/>
      <c r="M53" s="1096">
        <f>T53/(1000/D53)</f>
        <v>10.82</v>
      </c>
      <c r="N53" s="1210"/>
      <c r="O53" s="1210"/>
      <c r="P53" s="1097"/>
      <c r="Q53" s="555">
        <v>21</v>
      </c>
      <c r="R53" s="1107"/>
      <c r="S53" s="338" t="s">
        <v>161</v>
      </c>
      <c r="T53" s="336">
        <v>90.14</v>
      </c>
      <c r="U53" s="568">
        <f>'[2]Прайс опт кратко'!$U$53*1.15</f>
        <v>2176.9499999999998</v>
      </c>
      <c r="V53" s="558">
        <v>2177</v>
      </c>
      <c r="W53" s="558">
        <v>2461</v>
      </c>
    </row>
    <row r="54" spans="1:23" ht="24.75">
      <c r="A54" s="1144"/>
      <c r="B54" s="1173"/>
      <c r="C54" s="1114"/>
      <c r="D54" s="528"/>
      <c r="E54" s="1163"/>
      <c r="F54" s="1164"/>
      <c r="G54" s="1164"/>
      <c r="H54" s="1164"/>
      <c r="I54" s="1164"/>
      <c r="J54" s="1164"/>
      <c r="K54" s="1165"/>
      <c r="L54" s="534"/>
      <c r="M54" s="1160" t="s">
        <v>15</v>
      </c>
      <c r="N54" s="1161"/>
      <c r="O54" s="1161"/>
      <c r="P54" s="1162"/>
      <c r="Q54" s="555">
        <v>2.7</v>
      </c>
      <c r="R54" s="1105" t="s">
        <v>412</v>
      </c>
      <c r="S54" s="346" t="s">
        <v>139</v>
      </c>
      <c r="T54" s="336">
        <v>103.33</v>
      </c>
      <c r="U54" s="568">
        <f>'[2]Прайс опт кратко'!$U$54*1.15</f>
        <v>320.85000000000002</v>
      </c>
      <c r="V54" s="558">
        <v>321</v>
      </c>
      <c r="W54" s="558">
        <v>363</v>
      </c>
    </row>
    <row r="55" spans="1:23" ht="22.5" customHeight="1">
      <c r="A55" s="1144"/>
      <c r="B55" s="1174"/>
      <c r="C55" s="1115"/>
      <c r="D55" s="529"/>
      <c r="E55" s="1166"/>
      <c r="F55" s="1167"/>
      <c r="G55" s="1167"/>
      <c r="H55" s="1167"/>
      <c r="I55" s="1167"/>
      <c r="J55" s="1167"/>
      <c r="K55" s="1168"/>
      <c r="L55" s="536"/>
      <c r="M55" s="1166"/>
      <c r="N55" s="1167"/>
      <c r="O55" s="1167"/>
      <c r="P55" s="1168"/>
      <c r="Q55" s="555">
        <v>0.95</v>
      </c>
      <c r="R55" s="1107"/>
      <c r="S55" s="346" t="s">
        <v>140</v>
      </c>
      <c r="T55" s="336">
        <v>110.53</v>
      </c>
      <c r="U55" s="568">
        <f>'[2]Прайс опт кратко'!$U$55*1.15</f>
        <v>120.75</v>
      </c>
      <c r="V55" s="558">
        <v>121</v>
      </c>
      <c r="W55" s="558">
        <v>137</v>
      </c>
    </row>
    <row r="56" spans="1:23" ht="23.25" customHeight="1">
      <c r="A56" s="1175">
        <v>15</v>
      </c>
      <c r="B56" s="1176" t="s">
        <v>419</v>
      </c>
      <c r="C56" s="1177" t="s">
        <v>39</v>
      </c>
      <c r="D56" s="560">
        <v>80</v>
      </c>
      <c r="E56" s="1092">
        <v>80</v>
      </c>
      <c r="F56" s="1207"/>
      <c r="G56" s="1207"/>
      <c r="H56" s="1207"/>
      <c r="I56" s="1207"/>
      <c r="J56" s="1207"/>
      <c r="K56" s="1093"/>
      <c r="L56" s="567"/>
      <c r="M56" s="1082">
        <f>T56/(1000/D56)</f>
        <v>13.44</v>
      </c>
      <c r="N56" s="1209"/>
      <c r="O56" s="1209"/>
      <c r="P56" s="1083"/>
      <c r="Q56" s="559">
        <v>40</v>
      </c>
      <c r="R56" s="1127" t="s">
        <v>410</v>
      </c>
      <c r="S56" s="559" t="s">
        <v>240</v>
      </c>
      <c r="T56" s="347">
        <f t="shared" ref="T56:T63" si="5">U56/Q56</f>
        <v>167.96</v>
      </c>
      <c r="U56" s="505">
        <f>'[2]Прайс опт кратко'!$U$56*1.15</f>
        <v>6718.3</v>
      </c>
      <c r="V56" s="337">
        <f t="shared" si="1"/>
        <v>7727</v>
      </c>
      <c r="W56" s="337">
        <f t="shared" si="4"/>
        <v>8734</v>
      </c>
    </row>
    <row r="57" spans="1:23" ht="27.75" customHeight="1">
      <c r="A57" s="1175"/>
      <c r="B57" s="1176"/>
      <c r="C57" s="1178"/>
      <c r="D57" s="561">
        <v>80</v>
      </c>
      <c r="E57" s="1223"/>
      <c r="F57" s="1224"/>
      <c r="G57" s="1224"/>
      <c r="H57" s="1224"/>
      <c r="I57" s="1224"/>
      <c r="J57" s="1224"/>
      <c r="K57" s="1225"/>
      <c r="L57" s="567"/>
      <c r="M57" s="1082">
        <f>T57/(1000/D57)</f>
        <v>14.38</v>
      </c>
      <c r="N57" s="1209"/>
      <c r="O57" s="1209"/>
      <c r="P57" s="1083"/>
      <c r="Q57" s="559">
        <v>20</v>
      </c>
      <c r="R57" s="1129"/>
      <c r="S57" s="400" t="s">
        <v>162</v>
      </c>
      <c r="T57" s="347">
        <f t="shared" si="5"/>
        <v>179.75</v>
      </c>
      <c r="U57" s="568">
        <f>'[2]Прайс опт кратко'!$U$57*1.15</f>
        <v>3594.9</v>
      </c>
      <c r="V57" s="337">
        <f t="shared" si="1"/>
        <v>4135</v>
      </c>
      <c r="W57" s="337">
        <f t="shared" si="4"/>
        <v>4674</v>
      </c>
    </row>
    <row r="58" spans="1:23" ht="25.5" customHeight="1">
      <c r="A58" s="1175"/>
      <c r="B58" s="1176"/>
      <c r="C58" s="1178"/>
      <c r="D58" s="561"/>
      <c r="E58" s="1223"/>
      <c r="F58" s="1224"/>
      <c r="G58" s="1224"/>
      <c r="H58" s="1224"/>
      <c r="I58" s="1224"/>
      <c r="J58" s="1224"/>
      <c r="K58" s="1225"/>
      <c r="L58" s="540"/>
      <c r="M58" s="1092" t="s">
        <v>15</v>
      </c>
      <c r="N58" s="1207"/>
      <c r="O58" s="1207"/>
      <c r="P58" s="1093"/>
      <c r="Q58" s="559">
        <v>2.6</v>
      </c>
      <c r="R58" s="1127" t="s">
        <v>412</v>
      </c>
      <c r="S58" s="401" t="s">
        <v>128</v>
      </c>
      <c r="T58" s="347">
        <f t="shared" si="5"/>
        <v>206.12</v>
      </c>
      <c r="U58" s="568">
        <f>'[2]Прайс опт кратко'!$U$58*1.15</f>
        <v>535.9</v>
      </c>
      <c r="V58" s="337">
        <f t="shared" si="1"/>
        <v>617</v>
      </c>
      <c r="W58" s="337">
        <f t="shared" si="4"/>
        <v>697</v>
      </c>
    </row>
    <row r="59" spans="1:23" ht="26.25" customHeight="1">
      <c r="A59" s="1175"/>
      <c r="B59" s="1176"/>
      <c r="C59" s="1179"/>
      <c r="D59" s="562"/>
      <c r="E59" s="1094"/>
      <c r="F59" s="1208"/>
      <c r="G59" s="1208"/>
      <c r="H59" s="1208"/>
      <c r="I59" s="1208"/>
      <c r="J59" s="1208"/>
      <c r="K59" s="1095"/>
      <c r="L59" s="541"/>
      <c r="M59" s="1094"/>
      <c r="N59" s="1208"/>
      <c r="O59" s="1208"/>
      <c r="P59" s="1095"/>
      <c r="Q59" s="559">
        <v>0.9</v>
      </c>
      <c r="R59" s="1129"/>
      <c r="S59" s="400" t="s">
        <v>129</v>
      </c>
      <c r="T59" s="347">
        <f t="shared" si="5"/>
        <v>221.06</v>
      </c>
      <c r="U59" s="568">
        <f>'[2]Прайс опт кратко'!$U$59*1.15</f>
        <v>198.95</v>
      </c>
      <c r="V59" s="337">
        <f t="shared" si="1"/>
        <v>229</v>
      </c>
      <c r="W59" s="337">
        <f t="shared" si="4"/>
        <v>259</v>
      </c>
    </row>
    <row r="60" spans="1:23" ht="27" customHeight="1">
      <c r="A60" s="1144">
        <v>16</v>
      </c>
      <c r="B60" s="1145" t="s">
        <v>420</v>
      </c>
      <c r="C60" s="1113" t="s">
        <v>39</v>
      </c>
      <c r="D60" s="527">
        <v>80</v>
      </c>
      <c r="E60" s="1160">
        <v>80</v>
      </c>
      <c r="F60" s="1161"/>
      <c r="G60" s="1161"/>
      <c r="H60" s="1161"/>
      <c r="I60" s="1161"/>
      <c r="J60" s="1161"/>
      <c r="K60" s="1162"/>
      <c r="L60" s="544"/>
      <c r="M60" s="1096">
        <f>T60/(1000/D60)</f>
        <v>13.44</v>
      </c>
      <c r="N60" s="1210"/>
      <c r="O60" s="1210"/>
      <c r="P60" s="1097"/>
      <c r="Q60" s="555">
        <v>40</v>
      </c>
      <c r="R60" s="1105" t="s">
        <v>410</v>
      </c>
      <c r="S60" s="555" t="s">
        <v>240</v>
      </c>
      <c r="T60" s="336">
        <f t="shared" si="5"/>
        <v>167.96</v>
      </c>
      <c r="U60" s="505">
        <f>'[2]Прайс опт кратко'!$U$60*1.15</f>
        <v>6718.3</v>
      </c>
      <c r="V60" s="558">
        <f t="shared" si="1"/>
        <v>7727</v>
      </c>
      <c r="W60" s="558">
        <f t="shared" si="4"/>
        <v>8734</v>
      </c>
    </row>
    <row r="61" spans="1:23" ht="24.75" customHeight="1">
      <c r="A61" s="1144"/>
      <c r="B61" s="1145"/>
      <c r="C61" s="1114"/>
      <c r="D61" s="528">
        <v>80</v>
      </c>
      <c r="E61" s="1163"/>
      <c r="F61" s="1164"/>
      <c r="G61" s="1164"/>
      <c r="H61" s="1164"/>
      <c r="I61" s="1164"/>
      <c r="J61" s="1164"/>
      <c r="K61" s="1165"/>
      <c r="L61" s="544"/>
      <c r="M61" s="1096">
        <f>T61/(1000/D61)</f>
        <v>14.38</v>
      </c>
      <c r="N61" s="1210"/>
      <c r="O61" s="1210"/>
      <c r="P61" s="1097"/>
      <c r="Q61" s="555">
        <v>20</v>
      </c>
      <c r="R61" s="1107"/>
      <c r="S61" s="338" t="s">
        <v>162</v>
      </c>
      <c r="T61" s="336">
        <f t="shared" si="5"/>
        <v>179.75</v>
      </c>
      <c r="U61" s="568">
        <f>'[2]Прайс опт кратко'!$U$61*1.15</f>
        <v>3594.9</v>
      </c>
      <c r="V61" s="558">
        <f t="shared" si="1"/>
        <v>4135</v>
      </c>
      <c r="W61" s="558">
        <f t="shared" si="4"/>
        <v>4674</v>
      </c>
    </row>
    <row r="62" spans="1:23" ht="28.5" customHeight="1">
      <c r="A62" s="1144"/>
      <c r="B62" s="1145"/>
      <c r="C62" s="1114"/>
      <c r="D62" s="528"/>
      <c r="E62" s="1163"/>
      <c r="F62" s="1164"/>
      <c r="G62" s="1164"/>
      <c r="H62" s="1164"/>
      <c r="I62" s="1164"/>
      <c r="J62" s="1164"/>
      <c r="K62" s="1165"/>
      <c r="L62" s="534"/>
      <c r="M62" s="1160" t="s">
        <v>15</v>
      </c>
      <c r="N62" s="1161"/>
      <c r="O62" s="1161"/>
      <c r="P62" s="1162"/>
      <c r="Q62" s="555">
        <v>2.6</v>
      </c>
      <c r="R62" s="1105" t="s">
        <v>412</v>
      </c>
      <c r="S62" s="346" t="s">
        <v>128</v>
      </c>
      <c r="T62" s="336">
        <f t="shared" si="5"/>
        <v>206.12</v>
      </c>
      <c r="U62" s="568">
        <f>'[2]Прайс опт кратко'!$U$62*1.15</f>
        <v>535.9</v>
      </c>
      <c r="V62" s="558">
        <f t="shared" si="1"/>
        <v>617</v>
      </c>
      <c r="W62" s="558">
        <f t="shared" si="4"/>
        <v>697</v>
      </c>
    </row>
    <row r="63" spans="1:23" ht="26.25" customHeight="1">
      <c r="A63" s="1144"/>
      <c r="B63" s="1145"/>
      <c r="C63" s="1115"/>
      <c r="D63" s="529"/>
      <c r="E63" s="1166"/>
      <c r="F63" s="1167"/>
      <c r="G63" s="1167"/>
      <c r="H63" s="1167"/>
      <c r="I63" s="1167"/>
      <c r="J63" s="1167"/>
      <c r="K63" s="1168"/>
      <c r="L63" s="536"/>
      <c r="M63" s="1166"/>
      <c r="N63" s="1167"/>
      <c r="O63" s="1167"/>
      <c r="P63" s="1168"/>
      <c r="Q63" s="555">
        <v>0.9</v>
      </c>
      <c r="R63" s="1107"/>
      <c r="S63" s="338" t="s">
        <v>129</v>
      </c>
      <c r="T63" s="336">
        <f t="shared" si="5"/>
        <v>221.06</v>
      </c>
      <c r="U63" s="568">
        <f>'[2]Прайс опт кратко'!$U$63*1.15</f>
        <v>198.95</v>
      </c>
      <c r="V63" s="558">
        <f t="shared" si="1"/>
        <v>229</v>
      </c>
      <c r="W63" s="558">
        <f t="shared" si="4"/>
        <v>259</v>
      </c>
    </row>
    <row r="64" spans="1:23" ht="46.5" customHeight="1">
      <c r="A64" s="1204">
        <v>17</v>
      </c>
      <c r="B64" s="1220" t="s">
        <v>421</v>
      </c>
      <c r="C64" s="403" t="s">
        <v>432</v>
      </c>
      <c r="D64" s="403"/>
      <c r="E64" s="1181" t="s">
        <v>406</v>
      </c>
      <c r="F64" s="1182"/>
      <c r="G64" s="1182"/>
      <c r="H64" s="1182"/>
      <c r="I64" s="1182"/>
      <c r="J64" s="1182"/>
      <c r="K64" s="1183"/>
      <c r="L64" s="405"/>
      <c r="M64" s="1214">
        <f>T64/21/12.5</f>
        <v>1.35</v>
      </c>
      <c r="N64" s="1215"/>
      <c r="O64" s="1215"/>
      <c r="P64" s="1216"/>
      <c r="Q64" s="406">
        <v>43</v>
      </c>
      <c r="R64" s="1204" t="s">
        <v>410</v>
      </c>
      <c r="S64" s="1194" t="s">
        <v>343</v>
      </c>
      <c r="T64" s="1191">
        <v>354.19</v>
      </c>
      <c r="U64" s="1188">
        <f>'[2]Прайс опт кратко'!$U$64:$U$66*1.15</f>
        <v>17514.5</v>
      </c>
      <c r="V64" s="1217">
        <f>U64*1.15</f>
        <v>20141.68</v>
      </c>
      <c r="W64" s="1217">
        <f>U64*1.3</f>
        <v>22768.85</v>
      </c>
    </row>
    <row r="65" spans="1:23" ht="47.25" customHeight="1">
      <c r="A65" s="1205"/>
      <c r="B65" s="1221"/>
      <c r="C65" s="403" t="s">
        <v>433</v>
      </c>
      <c r="D65" s="403"/>
      <c r="E65" s="1181" t="s">
        <v>405</v>
      </c>
      <c r="F65" s="1182"/>
      <c r="G65" s="1182"/>
      <c r="H65" s="1182"/>
      <c r="I65" s="1182"/>
      <c r="J65" s="1182"/>
      <c r="K65" s="1183"/>
      <c r="L65" s="405"/>
      <c r="M65" s="1214">
        <f>T64/16/12.5</f>
        <v>1.77</v>
      </c>
      <c r="N65" s="1215"/>
      <c r="O65" s="1215"/>
      <c r="P65" s="1216"/>
      <c r="Q65" s="406">
        <v>43</v>
      </c>
      <c r="R65" s="1205"/>
      <c r="S65" s="1195"/>
      <c r="T65" s="1192"/>
      <c r="U65" s="1189"/>
      <c r="V65" s="1218"/>
      <c r="W65" s="1218"/>
    </row>
    <row r="66" spans="1:23" ht="46.5" customHeight="1">
      <c r="A66" s="1205"/>
      <c r="B66" s="1221"/>
      <c r="C66" s="403" t="s">
        <v>434</v>
      </c>
      <c r="D66" s="403"/>
      <c r="E66" s="1181" t="s">
        <v>407</v>
      </c>
      <c r="F66" s="1182"/>
      <c r="G66" s="1182"/>
      <c r="H66" s="1182"/>
      <c r="I66" s="1182"/>
      <c r="J66" s="1182"/>
      <c r="K66" s="1183"/>
      <c r="L66" s="405"/>
      <c r="M66" s="1214">
        <f>T64/11/12.5</f>
        <v>2.58</v>
      </c>
      <c r="N66" s="1215"/>
      <c r="O66" s="1215"/>
      <c r="P66" s="1216"/>
      <c r="Q66" s="406">
        <v>43</v>
      </c>
      <c r="R66" s="1206"/>
      <c r="S66" s="1196"/>
      <c r="T66" s="1193"/>
      <c r="U66" s="1190"/>
      <c r="V66" s="1219"/>
      <c r="W66" s="1219"/>
    </row>
    <row r="67" spans="1:23" ht="47.25" customHeight="1">
      <c r="A67" s="1205"/>
      <c r="B67" s="1221"/>
      <c r="C67" s="403" t="s">
        <v>435</v>
      </c>
      <c r="D67" s="403"/>
      <c r="E67" s="1181" t="s">
        <v>406</v>
      </c>
      <c r="F67" s="1182"/>
      <c r="G67" s="1182"/>
      <c r="H67" s="1182"/>
      <c r="I67" s="1182"/>
      <c r="J67" s="1182"/>
      <c r="K67" s="1183"/>
      <c r="L67" s="405"/>
      <c r="M67" s="1214">
        <f>T67/21/12.5</f>
        <v>1.42</v>
      </c>
      <c r="N67" s="1215"/>
      <c r="O67" s="1215"/>
      <c r="P67" s="1216"/>
      <c r="Q67" s="406">
        <v>21</v>
      </c>
      <c r="R67" s="1204" t="s">
        <v>410</v>
      </c>
      <c r="S67" s="1194" t="s">
        <v>403</v>
      </c>
      <c r="T67" s="1191">
        <v>371.9</v>
      </c>
      <c r="U67" s="1188">
        <f>'[2]Прайс опт кратко'!$U$67:$U$69*1.15</f>
        <v>8981.5</v>
      </c>
      <c r="V67" s="1217">
        <f>U67*1.15</f>
        <v>10328.73</v>
      </c>
      <c r="W67" s="1217">
        <f>U67*1.3</f>
        <v>11675.95</v>
      </c>
    </row>
    <row r="68" spans="1:23" ht="43.5" customHeight="1">
      <c r="A68" s="1205"/>
      <c r="B68" s="1221"/>
      <c r="C68" s="403" t="s">
        <v>433</v>
      </c>
      <c r="D68" s="403"/>
      <c r="E68" s="1181" t="s">
        <v>405</v>
      </c>
      <c r="F68" s="1182"/>
      <c r="G68" s="1182"/>
      <c r="H68" s="1182"/>
      <c r="I68" s="1182"/>
      <c r="J68" s="1182"/>
      <c r="K68" s="1183"/>
      <c r="L68" s="405"/>
      <c r="M68" s="1214">
        <f>T67/16/12.5</f>
        <v>1.86</v>
      </c>
      <c r="N68" s="1215"/>
      <c r="O68" s="1215"/>
      <c r="P68" s="1216"/>
      <c r="Q68" s="406">
        <v>21</v>
      </c>
      <c r="R68" s="1205"/>
      <c r="S68" s="1195"/>
      <c r="T68" s="1192"/>
      <c r="U68" s="1189"/>
      <c r="V68" s="1218"/>
      <c r="W68" s="1218"/>
    </row>
    <row r="69" spans="1:23" ht="41.25" customHeight="1">
      <c r="A69" s="1206"/>
      <c r="B69" s="1222"/>
      <c r="C69" s="403" t="s">
        <v>434</v>
      </c>
      <c r="D69" s="403"/>
      <c r="E69" s="1181" t="s">
        <v>407</v>
      </c>
      <c r="F69" s="1182"/>
      <c r="G69" s="1182"/>
      <c r="H69" s="1182"/>
      <c r="I69" s="1182"/>
      <c r="J69" s="1182"/>
      <c r="K69" s="1183"/>
      <c r="L69" s="405"/>
      <c r="M69" s="1214">
        <f>T67/11/12.5</f>
        <v>2.7</v>
      </c>
      <c r="N69" s="1215"/>
      <c r="O69" s="1215"/>
      <c r="P69" s="1216"/>
      <c r="Q69" s="406">
        <v>21</v>
      </c>
      <c r="R69" s="1206"/>
      <c r="S69" s="1196"/>
      <c r="T69" s="1193"/>
      <c r="U69" s="1190"/>
      <c r="V69" s="1219"/>
      <c r="W69" s="1219"/>
    </row>
    <row r="70" spans="1:23" ht="95.25" customHeight="1">
      <c r="A70" s="407">
        <v>18</v>
      </c>
      <c r="B70" s="556" t="s">
        <v>364</v>
      </c>
      <c r="C70" s="557" t="s">
        <v>15</v>
      </c>
      <c r="D70" s="557"/>
      <c r="E70" s="1088" t="s">
        <v>283</v>
      </c>
      <c r="F70" s="1101"/>
      <c r="G70" s="1101"/>
      <c r="H70" s="1101"/>
      <c r="I70" s="1101"/>
      <c r="J70" s="1101"/>
      <c r="K70" s="1091"/>
      <c r="L70" s="544"/>
      <c r="M70" s="1088" t="s">
        <v>338</v>
      </c>
      <c r="N70" s="1101"/>
      <c r="O70" s="1101"/>
      <c r="P70" s="1091"/>
      <c r="Q70" s="555">
        <v>90</v>
      </c>
      <c r="R70" s="555" t="s">
        <v>410</v>
      </c>
      <c r="S70" s="557" t="s">
        <v>280</v>
      </c>
      <c r="T70" s="336">
        <f>U70/Q70</f>
        <v>120.75</v>
      </c>
      <c r="U70" s="505">
        <f>'[2]Прайс опт кратко'!$U$70*1.15</f>
        <v>10867.5</v>
      </c>
      <c r="V70" s="348">
        <f t="shared" si="1"/>
        <v>12498</v>
      </c>
      <c r="W70" s="348">
        <f t="shared" si="4"/>
        <v>14128</v>
      </c>
    </row>
    <row r="71" spans="1:23" ht="26.25">
      <c r="A71" s="1198" t="s">
        <v>247</v>
      </c>
      <c r="B71" s="1198"/>
      <c r="C71" s="1198"/>
      <c r="D71" s="1198"/>
      <c r="E71" s="1198"/>
      <c r="F71" s="1198"/>
      <c r="G71" s="1198"/>
      <c r="H71" s="1198"/>
      <c r="I71" s="1198"/>
      <c r="J71" s="1198"/>
      <c r="K71" s="1198"/>
      <c r="L71" s="1198"/>
      <c r="M71" s="1198"/>
      <c r="N71" s="1198"/>
      <c r="O71" s="1198"/>
      <c r="P71" s="1198"/>
      <c r="Q71" s="1198"/>
      <c r="R71" s="1198"/>
      <c r="S71" s="1198"/>
      <c r="T71" s="1198"/>
      <c r="U71" s="1198"/>
      <c r="V71" s="1198"/>
      <c r="W71" s="1198"/>
    </row>
    <row r="72" spans="1:23" ht="95.25" customHeight="1">
      <c r="A72" s="1140">
        <v>19</v>
      </c>
      <c r="B72" s="1197" t="s">
        <v>385</v>
      </c>
      <c r="C72" s="1132" t="s">
        <v>105</v>
      </c>
      <c r="D72" s="549"/>
      <c r="E72" s="1203" t="s">
        <v>282</v>
      </c>
      <c r="F72" s="1203"/>
      <c r="G72" s="1203"/>
      <c r="H72" s="1203"/>
      <c r="I72" s="1203"/>
      <c r="J72" s="1203"/>
      <c r="K72" s="1203"/>
      <c r="L72" s="503"/>
      <c r="M72" s="1084" t="s">
        <v>339</v>
      </c>
      <c r="N72" s="1085"/>
      <c r="O72" s="1084" t="s">
        <v>340</v>
      </c>
      <c r="P72" s="1085"/>
      <c r="Q72" s="553"/>
      <c r="R72" s="1111" t="s">
        <v>413</v>
      </c>
      <c r="S72" s="1199" t="s">
        <v>138</v>
      </c>
      <c r="T72" s="1184">
        <f>U72/Q73</f>
        <v>129.74</v>
      </c>
      <c r="U72" s="1201">
        <f>'[2]Прайс опт кратко'!$U$72:$U$73*1.15</f>
        <v>1427.15</v>
      </c>
      <c r="V72" s="1202">
        <f>ROUND(U72*1.15,0)</f>
        <v>1641</v>
      </c>
      <c r="W72" s="1202">
        <f>ROUND(U72*1.3,0)</f>
        <v>1855</v>
      </c>
    </row>
    <row r="73" spans="1:23" ht="24.75" customHeight="1">
      <c r="A73" s="1140"/>
      <c r="B73" s="1197"/>
      <c r="C73" s="1133"/>
      <c r="D73" s="550">
        <v>90</v>
      </c>
      <c r="E73" s="1138" t="s">
        <v>281</v>
      </c>
      <c r="F73" s="1138"/>
      <c r="G73" s="1138"/>
      <c r="H73" s="1138"/>
      <c r="I73" s="1138"/>
      <c r="J73" s="1138"/>
      <c r="K73" s="1138"/>
      <c r="L73" s="547">
        <v>220</v>
      </c>
      <c r="M73" s="1086" t="str">
        <f>CONCATENATE(ROUND(T72*0.09,2),"-",ROUND(T72*0.22,2))</f>
        <v>11,68-28,54</v>
      </c>
      <c r="N73" s="1087"/>
      <c r="O73" s="1086" t="str">
        <f>CONCATENATE(ROUND(Q73*1000/L73,2),"-",ROUND(Q73*1000/D73,2))</f>
        <v>50-122,22</v>
      </c>
      <c r="P73" s="1087"/>
      <c r="Q73" s="553">
        <v>11</v>
      </c>
      <c r="R73" s="1150"/>
      <c r="S73" s="1200"/>
      <c r="T73" s="1185"/>
      <c r="U73" s="1201"/>
      <c r="V73" s="1202"/>
      <c r="W73" s="1202"/>
    </row>
    <row r="74" spans="1:23" ht="21" customHeight="1">
      <c r="A74" s="1140"/>
      <c r="B74" s="1197"/>
      <c r="C74" s="1133"/>
      <c r="D74" s="550">
        <v>90</v>
      </c>
      <c r="E74" s="1138"/>
      <c r="F74" s="1138"/>
      <c r="G74" s="1138"/>
      <c r="H74" s="1138"/>
      <c r="I74" s="1138"/>
      <c r="J74" s="1138"/>
      <c r="K74" s="1138"/>
      <c r="L74" s="547">
        <v>220</v>
      </c>
      <c r="M74" s="1086" t="str">
        <f>CONCATENATE(ROUND(T74*0.09,2),"-",ROUND(T74*0.22,2))</f>
        <v>12,83-31,36</v>
      </c>
      <c r="N74" s="1090"/>
      <c r="O74" s="1086" t="str">
        <f>CONCATENATE(ROUND(Q74*1000/L74,2),"-",ROUND(Q74*1000/D74,2))</f>
        <v>15-36,67</v>
      </c>
      <c r="P74" s="1087"/>
      <c r="Q74" s="553">
        <v>3.3</v>
      </c>
      <c r="R74" s="1112"/>
      <c r="S74" s="334" t="s">
        <v>137</v>
      </c>
      <c r="T74" s="332">
        <f>U74/Q74</f>
        <v>142.53</v>
      </c>
      <c r="U74" s="568">
        <f>'[2]Прайс опт кратко'!$U$74*1.15</f>
        <v>470.35</v>
      </c>
      <c r="V74" s="558">
        <f t="shared" ref="V74:V83" si="6">ROUNDUP(U74*1.15,0)</f>
        <v>541</v>
      </c>
      <c r="W74" s="558">
        <f t="shared" ref="W74:W84" si="7">ROUNDUP(U74*1.3,0)</f>
        <v>612</v>
      </c>
    </row>
    <row r="75" spans="1:23" ht="22.5" customHeight="1">
      <c r="A75" s="1140"/>
      <c r="B75" s="1197"/>
      <c r="C75" s="1134"/>
      <c r="D75" s="550">
        <v>90</v>
      </c>
      <c r="E75" s="1138"/>
      <c r="F75" s="1138"/>
      <c r="G75" s="1138"/>
      <c r="H75" s="1138"/>
      <c r="I75" s="1138"/>
      <c r="J75" s="1138"/>
      <c r="K75" s="1138"/>
      <c r="L75" s="547">
        <v>220</v>
      </c>
      <c r="M75" s="1086" t="str">
        <f>CONCATENATE(ROUND(T75*0.09,2),"-",ROUND(T75*0.22,2))</f>
        <v>13,73-33,56</v>
      </c>
      <c r="N75" s="1090"/>
      <c r="O75" s="1086" t="str">
        <f t="shared" ref="O75:O80" si="8">CONCATENATE(ROUND(Q75*1000/L75,2),"-",ROUND(Q75*1000/D75,2))</f>
        <v>4,32-10,56</v>
      </c>
      <c r="P75" s="1087"/>
      <c r="Q75" s="553">
        <v>0.95</v>
      </c>
      <c r="R75" s="553" t="s">
        <v>414</v>
      </c>
      <c r="S75" s="334" t="s">
        <v>136</v>
      </c>
      <c r="T75" s="332">
        <f>U75/Q75</f>
        <v>152.53</v>
      </c>
      <c r="U75" s="568">
        <f>'[2]Прайс опт кратко'!$U$75*1.15</f>
        <v>144.9</v>
      </c>
      <c r="V75" s="558">
        <f t="shared" si="6"/>
        <v>167</v>
      </c>
      <c r="W75" s="558">
        <f t="shared" si="7"/>
        <v>189</v>
      </c>
    </row>
    <row r="76" spans="1:23" ht="70.5" customHeight="1">
      <c r="A76" s="1144">
        <v>20</v>
      </c>
      <c r="B76" s="1145" t="s">
        <v>384</v>
      </c>
      <c r="C76" s="1113" t="s">
        <v>144</v>
      </c>
      <c r="D76" s="527">
        <v>60</v>
      </c>
      <c r="E76" s="1130" t="s">
        <v>145</v>
      </c>
      <c r="F76" s="1130"/>
      <c r="G76" s="1130"/>
      <c r="H76" s="1130"/>
      <c r="I76" s="1130"/>
      <c r="J76" s="1130"/>
      <c r="K76" s="1130"/>
      <c r="L76" s="544">
        <v>90</v>
      </c>
      <c r="M76" s="1088" t="str">
        <f>CONCATENATE(ROUND(T76*0.06,2),"-",ROUND(T76*0.09,2))</f>
        <v>8,77-13,15</v>
      </c>
      <c r="N76" s="1091"/>
      <c r="O76" s="1088" t="str">
        <f>CONCATENATE(ROUND(Q76*1000/L76,2),"-",ROUND(Q76*1000/D76,2))</f>
        <v>30-45</v>
      </c>
      <c r="P76" s="1089"/>
      <c r="Q76" s="555">
        <v>2.7</v>
      </c>
      <c r="R76" s="555" t="s">
        <v>413</v>
      </c>
      <c r="S76" s="338" t="s">
        <v>142</v>
      </c>
      <c r="T76" s="336">
        <f>U76/Q76</f>
        <v>146.09</v>
      </c>
      <c r="U76" s="568">
        <f>'[2]Прайс опт кратко'!$U$76*1.15</f>
        <v>394.45</v>
      </c>
      <c r="V76" s="337">
        <f t="shared" si="6"/>
        <v>454</v>
      </c>
      <c r="W76" s="337">
        <f t="shared" si="7"/>
        <v>513</v>
      </c>
    </row>
    <row r="77" spans="1:23" ht="60.75" customHeight="1">
      <c r="A77" s="1144"/>
      <c r="B77" s="1145"/>
      <c r="C77" s="1115"/>
      <c r="D77" s="527">
        <v>60</v>
      </c>
      <c r="E77" s="1130"/>
      <c r="F77" s="1130"/>
      <c r="G77" s="1130"/>
      <c r="H77" s="1130"/>
      <c r="I77" s="1130"/>
      <c r="J77" s="1130"/>
      <c r="K77" s="1130"/>
      <c r="L77" s="544">
        <v>90</v>
      </c>
      <c r="M77" s="1088" t="str">
        <f>CONCATENATE(ROUND(T77*0.06,2),"-",ROUND(T77*0.09,2))</f>
        <v>9,66-14,49</v>
      </c>
      <c r="N77" s="1091"/>
      <c r="O77" s="1088" t="str">
        <f t="shared" si="8"/>
        <v>10-15</v>
      </c>
      <c r="P77" s="1089"/>
      <c r="Q77" s="555">
        <v>0.9</v>
      </c>
      <c r="R77" s="555" t="s">
        <v>415</v>
      </c>
      <c r="S77" s="338" t="s">
        <v>141</v>
      </c>
      <c r="T77" s="336">
        <f>U77/Q77</f>
        <v>161</v>
      </c>
      <c r="U77" s="568">
        <f>'[2]Прайс опт кратко'!$U$75*1.15</f>
        <v>144.9</v>
      </c>
      <c r="V77" s="337">
        <f t="shared" si="6"/>
        <v>167</v>
      </c>
      <c r="W77" s="337">
        <f t="shared" si="7"/>
        <v>189</v>
      </c>
    </row>
    <row r="78" spans="1:23" ht="19.5" customHeight="1">
      <c r="A78" s="1140">
        <v>21</v>
      </c>
      <c r="B78" s="1197" t="s">
        <v>367</v>
      </c>
      <c r="C78" s="1132" t="s">
        <v>12</v>
      </c>
      <c r="D78" s="527">
        <v>60</v>
      </c>
      <c r="E78" s="1203" t="s">
        <v>218</v>
      </c>
      <c r="F78" s="1203"/>
      <c r="G78" s="1203"/>
      <c r="H78" s="1203"/>
      <c r="I78" s="1203"/>
      <c r="J78" s="1203"/>
      <c r="K78" s="1203"/>
      <c r="L78" s="503"/>
      <c r="M78" s="1092" t="str">
        <f>CONCATENATE(ROUND(T78*0.06,2),"-",ROUND(T78*0.12,2))</f>
        <v>2,81-5,61</v>
      </c>
      <c r="N78" s="1093"/>
      <c r="O78" s="1092" t="str">
        <f>CONCATENATE(ROUND(Q79*1000/L79,2),"-",ROUND(Q79*1000/D79,2))</f>
        <v>87,5-175</v>
      </c>
      <c r="P78" s="1093"/>
      <c r="Q78" s="553"/>
      <c r="R78" s="1111" t="s">
        <v>411</v>
      </c>
      <c r="S78" s="1199" t="s">
        <v>131</v>
      </c>
      <c r="T78" s="1184">
        <f>U78/Q79</f>
        <v>46.77</v>
      </c>
      <c r="U78" s="1186">
        <f>'[2]Прайс опт кратко'!$U$78:$U$79*1.15</f>
        <v>491.05</v>
      </c>
      <c r="V78" s="1187">
        <f>ROUNDUP(U78*1.15,0)</f>
        <v>565</v>
      </c>
      <c r="W78" s="1187">
        <f>ROUNDUP(U78*1.3,0)</f>
        <v>639</v>
      </c>
    </row>
    <row r="79" spans="1:23" ht="24.75" customHeight="1">
      <c r="A79" s="1140"/>
      <c r="B79" s="1197"/>
      <c r="C79" s="1133"/>
      <c r="D79" s="527">
        <v>60</v>
      </c>
      <c r="E79" s="1138" t="s">
        <v>116</v>
      </c>
      <c r="F79" s="1138"/>
      <c r="G79" s="1138"/>
      <c r="H79" s="1138"/>
      <c r="I79" s="1138"/>
      <c r="J79" s="1138"/>
      <c r="K79" s="1138"/>
      <c r="L79" s="547">
        <v>120</v>
      </c>
      <c r="M79" s="1094"/>
      <c r="N79" s="1095"/>
      <c r="O79" s="1094"/>
      <c r="P79" s="1095"/>
      <c r="Q79" s="553">
        <v>10.5</v>
      </c>
      <c r="R79" s="1150"/>
      <c r="S79" s="1200"/>
      <c r="T79" s="1185"/>
      <c r="U79" s="1186"/>
      <c r="V79" s="1187"/>
      <c r="W79" s="1187"/>
    </row>
    <row r="80" spans="1:23" ht="42.75" customHeight="1">
      <c r="A80" s="1140"/>
      <c r="B80" s="1197"/>
      <c r="C80" s="1134"/>
      <c r="D80" s="527">
        <v>60</v>
      </c>
      <c r="E80" s="1138"/>
      <c r="F80" s="1138"/>
      <c r="G80" s="1138"/>
      <c r="H80" s="1138"/>
      <c r="I80" s="1138"/>
      <c r="J80" s="1138"/>
      <c r="K80" s="1138"/>
      <c r="L80" s="547">
        <v>120</v>
      </c>
      <c r="M80" s="1086" t="str">
        <f>CONCATENATE(ROUND(T80*0.09,2),"-",ROUND(T80*0.12,2))</f>
        <v>4,52-6,02</v>
      </c>
      <c r="N80" s="1090"/>
      <c r="O80" s="1086" t="str">
        <f t="shared" si="8"/>
        <v>27,5-55</v>
      </c>
      <c r="P80" s="1087"/>
      <c r="Q80" s="553">
        <v>3.3</v>
      </c>
      <c r="R80" s="1112"/>
      <c r="S80" s="334" t="s">
        <v>130</v>
      </c>
      <c r="T80" s="332">
        <f>U80/Q80</f>
        <v>50.18</v>
      </c>
      <c r="U80" s="568">
        <f>'[2]Прайс опт кратко'!$U$80*1.15</f>
        <v>165.6</v>
      </c>
      <c r="V80" s="558">
        <f t="shared" si="6"/>
        <v>191</v>
      </c>
      <c r="W80" s="558">
        <f t="shared" si="7"/>
        <v>216</v>
      </c>
    </row>
    <row r="81" spans="1:23" ht="54.75" customHeight="1">
      <c r="A81" s="1144">
        <v>22</v>
      </c>
      <c r="B81" s="1145" t="s">
        <v>429</v>
      </c>
      <c r="C81" s="1113" t="s">
        <v>22</v>
      </c>
      <c r="D81" s="527">
        <v>120</v>
      </c>
      <c r="E81" s="1130">
        <v>120</v>
      </c>
      <c r="F81" s="1130"/>
      <c r="G81" s="1130"/>
      <c r="H81" s="1130"/>
      <c r="I81" s="1130"/>
      <c r="J81" s="1130"/>
      <c r="K81" s="1130"/>
      <c r="L81" s="544">
        <v>120</v>
      </c>
      <c r="M81" s="1088">
        <f>T81/(1000/E81)</f>
        <v>10.901999999999999</v>
      </c>
      <c r="N81" s="1091"/>
      <c r="O81" s="1088" t="str">
        <f>CONCATENATE(ROUND(Q81*1000/L81,2))</f>
        <v>125</v>
      </c>
      <c r="P81" s="1089"/>
      <c r="Q81" s="555">
        <v>15</v>
      </c>
      <c r="R81" s="1105" t="s">
        <v>411</v>
      </c>
      <c r="S81" s="338" t="s">
        <v>133</v>
      </c>
      <c r="T81" s="336">
        <f>U81/Q81</f>
        <v>90.85</v>
      </c>
      <c r="U81" s="568">
        <f>'[2]Прайс опт кратко'!$U$81*1.15</f>
        <v>1362.75</v>
      </c>
      <c r="V81" s="337">
        <f t="shared" si="6"/>
        <v>1568</v>
      </c>
      <c r="W81" s="337">
        <f t="shared" si="7"/>
        <v>1772</v>
      </c>
    </row>
    <row r="82" spans="1:23" ht="52.5" customHeight="1">
      <c r="A82" s="1144"/>
      <c r="B82" s="1145"/>
      <c r="C82" s="1115"/>
      <c r="D82" s="529">
        <v>120</v>
      </c>
      <c r="E82" s="1130"/>
      <c r="F82" s="1130"/>
      <c r="G82" s="1130"/>
      <c r="H82" s="1130"/>
      <c r="I82" s="1130"/>
      <c r="J82" s="1130"/>
      <c r="K82" s="1130"/>
      <c r="L82" s="544">
        <v>120</v>
      </c>
      <c r="M82" s="1096">
        <f>T82/(1000/120)</f>
        <v>11.68</v>
      </c>
      <c r="N82" s="1097"/>
      <c r="O82" s="1088" t="str">
        <f t="shared" ref="O82" si="9">CONCATENATE(ROUND(Q82*1000/L82,2))</f>
        <v>37,5</v>
      </c>
      <c r="P82" s="1089"/>
      <c r="Q82" s="555">
        <v>4.5</v>
      </c>
      <c r="R82" s="1107"/>
      <c r="S82" s="338" t="s">
        <v>132</v>
      </c>
      <c r="T82" s="336">
        <f>U82/Q82</f>
        <v>97.37</v>
      </c>
      <c r="U82" s="568">
        <f>'[2]Прайс опт кратко'!$U$82*1.15</f>
        <v>438.15</v>
      </c>
      <c r="V82" s="337">
        <f t="shared" si="6"/>
        <v>504</v>
      </c>
      <c r="W82" s="337">
        <f t="shared" si="7"/>
        <v>570</v>
      </c>
    </row>
    <row r="83" spans="1:23" ht="43.5" customHeight="1">
      <c r="A83" s="1111">
        <v>23</v>
      </c>
      <c r="B83" s="1197" t="s">
        <v>430</v>
      </c>
      <c r="C83" s="1132" t="s">
        <v>22</v>
      </c>
      <c r="D83" s="549">
        <v>120</v>
      </c>
      <c r="E83" s="1138">
        <v>120</v>
      </c>
      <c r="F83" s="1138"/>
      <c r="G83" s="1138"/>
      <c r="H83" s="1138"/>
      <c r="I83" s="1138"/>
      <c r="J83" s="1138"/>
      <c r="K83" s="1138"/>
      <c r="L83" s="546">
        <v>120</v>
      </c>
      <c r="M83" s="1082">
        <f>T83/(1000/120)</f>
        <v>14.69</v>
      </c>
      <c r="N83" s="1083"/>
      <c r="O83" s="1086" t="str">
        <f>CONCATENATE(ROUND(Q83*1000/L83,2))</f>
        <v>91,67</v>
      </c>
      <c r="P83" s="1087"/>
      <c r="Q83" s="553">
        <v>11</v>
      </c>
      <c r="R83" s="1111" t="s">
        <v>411</v>
      </c>
      <c r="S83" s="334" t="s">
        <v>135</v>
      </c>
      <c r="T83" s="332">
        <f>U83/Q83</f>
        <v>122.42</v>
      </c>
      <c r="U83" s="568">
        <f>'[2]Прайс опт кратко'!$U$83*1.15</f>
        <v>1346.65</v>
      </c>
      <c r="V83" s="558">
        <f t="shared" si="6"/>
        <v>1549</v>
      </c>
      <c r="W83" s="558">
        <f t="shared" si="7"/>
        <v>1751</v>
      </c>
    </row>
    <row r="84" spans="1:23" ht="66" customHeight="1">
      <c r="A84" s="1112"/>
      <c r="B84" s="1197"/>
      <c r="C84" s="1134"/>
      <c r="D84" s="551">
        <v>120</v>
      </c>
      <c r="E84" s="1138"/>
      <c r="F84" s="1138"/>
      <c r="G84" s="1138"/>
      <c r="H84" s="1138"/>
      <c r="I84" s="1138"/>
      <c r="J84" s="1138"/>
      <c r="K84" s="1138"/>
      <c r="L84" s="546">
        <v>120</v>
      </c>
      <c r="M84" s="1082">
        <f>T84/(1000/120)</f>
        <v>15.75</v>
      </c>
      <c r="N84" s="1083"/>
      <c r="O84" s="1086" t="str">
        <f>CONCATENATE(ROUND(Q84*1000/L84,2))</f>
        <v>28,33</v>
      </c>
      <c r="P84" s="1087"/>
      <c r="Q84" s="350">
        <v>3.4</v>
      </c>
      <c r="R84" s="1112"/>
      <c r="S84" s="351" t="s">
        <v>134</v>
      </c>
      <c r="T84" s="352">
        <f>U84/Q84</f>
        <v>131.24</v>
      </c>
      <c r="U84" s="568">
        <f>'[2]Прайс опт кратко'!$U$84*1.15</f>
        <v>446.2</v>
      </c>
      <c r="V84" s="558">
        <f>ROUNDUP(U84*1.15,0)</f>
        <v>514</v>
      </c>
      <c r="W84" s="558">
        <f t="shared" si="7"/>
        <v>581</v>
      </c>
    </row>
  </sheetData>
  <sheetProtection password="D72B" sheet="1" objects="1" scenarios="1"/>
  <mergeCells count="241">
    <mergeCell ref="R48:R49"/>
    <mergeCell ref="A47:W47"/>
    <mergeCell ref="V64:V66"/>
    <mergeCell ref="W64:W66"/>
    <mergeCell ref="V67:V69"/>
    <mergeCell ref="W67:W69"/>
    <mergeCell ref="B64:B69"/>
    <mergeCell ref="A64:A69"/>
    <mergeCell ref="C52:C55"/>
    <mergeCell ref="M50:P51"/>
    <mergeCell ref="M54:P55"/>
    <mergeCell ref="R50:R51"/>
    <mergeCell ref="R52:R53"/>
    <mergeCell ref="E52:K55"/>
    <mergeCell ref="E56:K59"/>
    <mergeCell ref="M65:P65"/>
    <mergeCell ref="M66:P66"/>
    <mergeCell ref="M67:P67"/>
    <mergeCell ref="M68:P68"/>
    <mergeCell ref="M69:P69"/>
    <mergeCell ref="R54:R55"/>
    <mergeCell ref="R56:R57"/>
    <mergeCell ref="R58:R59"/>
    <mergeCell ref="R60:R61"/>
    <mergeCell ref="R62:R63"/>
    <mergeCell ref="R64:R66"/>
    <mergeCell ref="R67:R69"/>
    <mergeCell ref="M62:P63"/>
    <mergeCell ref="M58:P59"/>
    <mergeCell ref="M57:P57"/>
    <mergeCell ref="E41:K43"/>
    <mergeCell ref="M53:P53"/>
    <mergeCell ref="M56:P56"/>
    <mergeCell ref="E48:K51"/>
    <mergeCell ref="M45:P45"/>
    <mergeCell ref="M48:P48"/>
    <mergeCell ref="M49:P49"/>
    <mergeCell ref="M52:P52"/>
    <mergeCell ref="E46:K46"/>
    <mergeCell ref="E68:K68"/>
    <mergeCell ref="E60:K63"/>
    <mergeCell ref="E64:K64"/>
    <mergeCell ref="M60:P60"/>
    <mergeCell ref="M61:P61"/>
    <mergeCell ref="M64:P64"/>
    <mergeCell ref="E69:K69"/>
    <mergeCell ref="E65:K65"/>
    <mergeCell ref="E66:K66"/>
    <mergeCell ref="R36:R37"/>
    <mergeCell ref="R42:R43"/>
    <mergeCell ref="R39:R40"/>
    <mergeCell ref="M41:P41"/>
    <mergeCell ref="M38:P38"/>
    <mergeCell ref="M34:P34"/>
    <mergeCell ref="I12:I16"/>
    <mergeCell ref="C7:C11"/>
    <mergeCell ref="C12:C16"/>
    <mergeCell ref="M36:P36"/>
    <mergeCell ref="M37:P37"/>
    <mergeCell ref="M39:P39"/>
    <mergeCell ref="M40:P40"/>
    <mergeCell ref="E83:K84"/>
    <mergeCell ref="C81:C82"/>
    <mergeCell ref="C83:C84"/>
    <mergeCell ref="A71:W71"/>
    <mergeCell ref="A72:A75"/>
    <mergeCell ref="B72:B75"/>
    <mergeCell ref="S72:S73"/>
    <mergeCell ref="T72:T73"/>
    <mergeCell ref="U72:U73"/>
    <mergeCell ref="V72:V73"/>
    <mergeCell ref="W72:W73"/>
    <mergeCell ref="E72:K72"/>
    <mergeCell ref="E73:K75"/>
    <mergeCell ref="E78:K78"/>
    <mergeCell ref="C72:C75"/>
    <mergeCell ref="S78:S79"/>
    <mergeCell ref="R81:R82"/>
    <mergeCell ref="R83:R84"/>
    <mergeCell ref="R72:R74"/>
    <mergeCell ref="A81:A82"/>
    <mergeCell ref="B81:B82"/>
    <mergeCell ref="B83:B84"/>
    <mergeCell ref="A83:A84"/>
    <mergeCell ref="E81:K82"/>
    <mergeCell ref="W78:W79"/>
    <mergeCell ref="A76:A77"/>
    <mergeCell ref="B76:B77"/>
    <mergeCell ref="A78:A80"/>
    <mergeCell ref="B78:B80"/>
    <mergeCell ref="E76:K77"/>
    <mergeCell ref="E79:K80"/>
    <mergeCell ref="C76:C77"/>
    <mergeCell ref="C78:C80"/>
    <mergeCell ref="R78:R80"/>
    <mergeCell ref="E67:K67"/>
    <mergeCell ref="T78:T79"/>
    <mergeCell ref="U78:U79"/>
    <mergeCell ref="V78:V79"/>
    <mergeCell ref="U64:U66"/>
    <mergeCell ref="U67:U69"/>
    <mergeCell ref="T64:T66"/>
    <mergeCell ref="T67:T69"/>
    <mergeCell ref="S64:S66"/>
    <mergeCell ref="S67:S69"/>
    <mergeCell ref="M70:P70"/>
    <mergeCell ref="E70:K70"/>
    <mergeCell ref="A60:A63"/>
    <mergeCell ref="B60:B63"/>
    <mergeCell ref="C60:C63"/>
    <mergeCell ref="C32:C34"/>
    <mergeCell ref="C35:C37"/>
    <mergeCell ref="C41:C43"/>
    <mergeCell ref="B52:B55"/>
    <mergeCell ref="A52:A55"/>
    <mergeCell ref="A56:A59"/>
    <mergeCell ref="B56:B59"/>
    <mergeCell ref="C56:C59"/>
    <mergeCell ref="A48:A51"/>
    <mergeCell ref="B48:B51"/>
    <mergeCell ref="C48:C51"/>
    <mergeCell ref="C38:C40"/>
    <mergeCell ref="E17:E21"/>
    <mergeCell ref="G17:G21"/>
    <mergeCell ref="K17:K21"/>
    <mergeCell ref="E45:K45"/>
    <mergeCell ref="A41:A43"/>
    <mergeCell ref="B41:B43"/>
    <mergeCell ref="A32:A34"/>
    <mergeCell ref="B32:B34"/>
    <mergeCell ref="A35:A37"/>
    <mergeCell ref="B35:B37"/>
    <mergeCell ref="E28:E31"/>
    <mergeCell ref="K28:K31"/>
    <mergeCell ref="G29:G31"/>
    <mergeCell ref="E32:K34"/>
    <mergeCell ref="E35:K37"/>
    <mergeCell ref="A22:A26"/>
    <mergeCell ref="B22:B26"/>
    <mergeCell ref="A28:A31"/>
    <mergeCell ref="B28:B31"/>
    <mergeCell ref="B38:B40"/>
    <mergeCell ref="A38:A40"/>
    <mergeCell ref="E44:K44"/>
    <mergeCell ref="E38:K40"/>
    <mergeCell ref="A3:U3"/>
    <mergeCell ref="R12:R13"/>
    <mergeCell ref="R14:R16"/>
    <mergeCell ref="R17:R18"/>
    <mergeCell ref="I17:I21"/>
    <mergeCell ref="C17:C21"/>
    <mergeCell ref="I7:I11"/>
    <mergeCell ref="E4:K4"/>
    <mergeCell ref="E7:E11"/>
    <mergeCell ref="G7:G11"/>
    <mergeCell ref="K7:K11"/>
    <mergeCell ref="E12:E16"/>
    <mergeCell ref="G12:G16"/>
    <mergeCell ref="K12:K16"/>
    <mergeCell ref="A6:W6"/>
    <mergeCell ref="A7:A11"/>
    <mergeCell ref="V4:V5"/>
    <mergeCell ref="W4:W5"/>
    <mergeCell ref="C4:C5"/>
    <mergeCell ref="R4:R5"/>
    <mergeCell ref="M4:P4"/>
    <mergeCell ref="A12:A16"/>
    <mergeCell ref="B12:B16"/>
    <mergeCell ref="B7:B11"/>
    <mergeCell ref="M33:P33"/>
    <mergeCell ref="A4:A5"/>
    <mergeCell ref="B4:B5"/>
    <mergeCell ref="S4:S5"/>
    <mergeCell ref="T4:T5"/>
    <mergeCell ref="U4:U5"/>
    <mergeCell ref="R19:R21"/>
    <mergeCell ref="R22:R23"/>
    <mergeCell ref="M32:P32"/>
    <mergeCell ref="I29:I31"/>
    <mergeCell ref="C28:C31"/>
    <mergeCell ref="E22:E26"/>
    <mergeCell ref="G22:G26"/>
    <mergeCell ref="K22:K26"/>
    <mergeCell ref="I22:I26"/>
    <mergeCell ref="C22:C26"/>
    <mergeCell ref="M9:M11"/>
    <mergeCell ref="N9:N11"/>
    <mergeCell ref="O9:O11"/>
    <mergeCell ref="P9:P11"/>
    <mergeCell ref="R7:R8"/>
    <mergeCell ref="R9:R11"/>
    <mergeCell ref="A17:A21"/>
    <mergeCell ref="B17:B21"/>
    <mergeCell ref="M83:N83"/>
    <mergeCell ref="M46:P46"/>
    <mergeCell ref="M35:P35"/>
    <mergeCell ref="M42:P42"/>
    <mergeCell ref="M43:P43"/>
    <mergeCell ref="M44:P44"/>
    <mergeCell ref="R24:R26"/>
    <mergeCell ref="M14:M16"/>
    <mergeCell ref="N14:N16"/>
    <mergeCell ref="O14:O16"/>
    <mergeCell ref="P14:P16"/>
    <mergeCell ref="R28:R29"/>
    <mergeCell ref="R30:R31"/>
    <mergeCell ref="R33:R34"/>
    <mergeCell ref="M24:M26"/>
    <mergeCell ref="N24:N26"/>
    <mergeCell ref="O24:O26"/>
    <mergeCell ref="P24:P26"/>
    <mergeCell ref="M28:M31"/>
    <mergeCell ref="P28:P31"/>
    <mergeCell ref="M19:M21"/>
    <mergeCell ref="N19:N21"/>
    <mergeCell ref="O19:O21"/>
    <mergeCell ref="P19:P21"/>
    <mergeCell ref="C1:U1"/>
    <mergeCell ref="M84:N84"/>
    <mergeCell ref="M72:N72"/>
    <mergeCell ref="O72:P72"/>
    <mergeCell ref="O73:P73"/>
    <mergeCell ref="O74:P74"/>
    <mergeCell ref="O75:P75"/>
    <mergeCell ref="O76:P76"/>
    <mergeCell ref="O77:P77"/>
    <mergeCell ref="O80:P80"/>
    <mergeCell ref="O81:P81"/>
    <mergeCell ref="O82:P82"/>
    <mergeCell ref="O83:P83"/>
    <mergeCell ref="O84:P84"/>
    <mergeCell ref="M73:N73"/>
    <mergeCell ref="M74:N74"/>
    <mergeCell ref="M75:N75"/>
    <mergeCell ref="M76:N76"/>
    <mergeCell ref="M77:N77"/>
    <mergeCell ref="M80:N80"/>
    <mergeCell ref="M78:N79"/>
    <mergeCell ref="O78:P79"/>
    <mergeCell ref="M81:N81"/>
    <mergeCell ref="M82:N82"/>
  </mergeCells>
  <pageMargins left="0.72" right="0.19685039370078741" top="0.19685039370078741" bottom="0.18" header="0.31496062992125984" footer="0.19685039370078741"/>
  <pageSetup paperSize="9" scale="37" orientation="landscape" r:id="rId1"/>
  <rowBreaks count="1" manualBreakCount="1">
    <brk id="45" max="20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"/>
  <sheetViews>
    <sheetView tabSelected="1" view="pageBreakPreview" topLeftCell="A31" zoomScale="50" zoomScaleNormal="50" zoomScaleSheetLayoutView="50" workbookViewId="0">
      <selection activeCell="B12" sqref="B12:B16"/>
    </sheetView>
  </sheetViews>
  <sheetFormatPr defaultRowHeight="12.75"/>
  <cols>
    <col min="1" max="1" width="5" customWidth="1"/>
    <col min="2" max="2" width="139.5703125" customWidth="1"/>
    <col min="3" max="3" width="59" customWidth="1"/>
    <col min="4" max="4" width="0" hidden="1" customWidth="1"/>
    <col min="5" max="5" width="13.5703125" customWidth="1"/>
    <col min="6" max="6" width="3.85546875" hidden="1" customWidth="1"/>
    <col min="7" max="7" width="12" customWidth="1"/>
    <col min="8" max="8" width="3.5703125" hidden="1" customWidth="1"/>
    <col min="9" max="9" width="13.42578125" customWidth="1"/>
    <col min="10" max="10" width="0" hidden="1" customWidth="1"/>
    <col min="11" max="11" width="13" customWidth="1"/>
    <col min="12" max="17" width="9.140625" hidden="1" customWidth="1"/>
    <col min="18" max="18" width="19.42578125" customWidth="1"/>
    <col min="19" max="19" width="18.42578125" customWidth="1"/>
    <col min="20" max="20" width="22.7109375" customWidth="1"/>
    <col min="21" max="21" width="27.85546875" customWidth="1"/>
    <col min="22" max="22" width="21" hidden="1" customWidth="1"/>
    <col min="23" max="23" width="20.85546875" hidden="1" customWidth="1"/>
  </cols>
  <sheetData>
    <row r="1" spans="1:23" ht="61.5" customHeight="1">
      <c r="C1" s="1081" t="s">
        <v>443</v>
      </c>
      <c r="D1" s="1081"/>
      <c r="E1" s="1081"/>
      <c r="F1" s="1081"/>
      <c r="G1" s="1081"/>
      <c r="H1" s="1081"/>
      <c r="I1" s="1081"/>
      <c r="J1" s="1081"/>
      <c r="K1" s="1081"/>
      <c r="L1" s="1081"/>
      <c r="M1" s="1081"/>
      <c r="N1" s="1081"/>
      <c r="O1" s="1081"/>
      <c r="P1" s="1081"/>
      <c r="Q1" s="1081"/>
      <c r="R1" s="1081"/>
      <c r="S1" s="1081"/>
      <c r="T1" s="1081"/>
      <c r="U1" s="1081"/>
    </row>
    <row r="2" spans="1:23" ht="33.75" customHeight="1">
      <c r="A2" s="463" t="s">
        <v>399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</row>
    <row r="3" spans="1:23" ht="33.75" customHeight="1">
      <c r="A3" s="1131" t="s">
        <v>382</v>
      </c>
      <c r="B3" s="1131"/>
      <c r="C3" s="1131"/>
      <c r="D3" s="1131"/>
      <c r="E3" s="1131"/>
      <c r="F3" s="1131"/>
      <c r="G3" s="1131"/>
      <c r="H3" s="1131"/>
      <c r="I3" s="1131"/>
      <c r="J3" s="1131"/>
      <c r="K3" s="1131"/>
      <c r="L3" s="1131"/>
      <c r="M3" s="1131"/>
      <c r="N3" s="1131"/>
      <c r="O3" s="1131"/>
      <c r="P3" s="1131"/>
      <c r="Q3" s="1131"/>
      <c r="R3" s="1131"/>
      <c r="S3" s="1131"/>
      <c r="T3" s="1131"/>
      <c r="U3" s="1131"/>
      <c r="V3" s="502"/>
      <c r="W3" s="502"/>
    </row>
    <row r="4" spans="1:23" ht="45.75" customHeight="1">
      <c r="A4" s="1226" t="s">
        <v>0</v>
      </c>
      <c r="B4" s="1228" t="s">
        <v>55</v>
      </c>
      <c r="C4" s="1228" t="s">
        <v>335</v>
      </c>
      <c r="D4" s="511"/>
      <c r="E4" s="1230" t="s">
        <v>218</v>
      </c>
      <c r="F4" s="1231"/>
      <c r="G4" s="1231"/>
      <c r="H4" s="1231"/>
      <c r="I4" s="1231"/>
      <c r="J4" s="1231"/>
      <c r="K4" s="1232"/>
      <c r="L4" s="512"/>
      <c r="M4" s="1233" t="s">
        <v>326</v>
      </c>
      <c r="N4" s="1233"/>
      <c r="O4" s="1233"/>
      <c r="P4" s="1233"/>
      <c r="Q4" s="513"/>
      <c r="R4" s="1234" t="s">
        <v>323</v>
      </c>
      <c r="S4" s="1234" t="s">
        <v>288</v>
      </c>
      <c r="T4" s="1234" t="s">
        <v>256</v>
      </c>
      <c r="U4" s="1125" t="s">
        <v>31</v>
      </c>
      <c r="V4" s="1228" t="s">
        <v>251</v>
      </c>
      <c r="W4" s="1228" t="s">
        <v>252</v>
      </c>
    </row>
    <row r="5" spans="1:23" ht="71.25" customHeight="1">
      <c r="A5" s="1227"/>
      <c r="B5" s="1229"/>
      <c r="C5" s="1229"/>
      <c r="D5" s="514"/>
      <c r="E5" s="515" t="s">
        <v>2</v>
      </c>
      <c r="F5" s="515"/>
      <c r="G5" s="515" t="s">
        <v>330</v>
      </c>
      <c r="H5" s="515"/>
      <c r="I5" s="515" t="s">
        <v>331</v>
      </c>
      <c r="J5" s="515"/>
      <c r="K5" s="515" t="s">
        <v>166</v>
      </c>
      <c r="L5" s="515"/>
      <c r="M5" s="414" t="s">
        <v>2</v>
      </c>
      <c r="N5" s="414" t="s">
        <v>327</v>
      </c>
      <c r="O5" s="414" t="s">
        <v>328</v>
      </c>
      <c r="P5" s="414" t="s">
        <v>329</v>
      </c>
      <c r="Q5" s="515"/>
      <c r="R5" s="1235"/>
      <c r="S5" s="1235"/>
      <c r="T5" s="1235"/>
      <c r="U5" s="1126"/>
      <c r="V5" s="1229"/>
      <c r="W5" s="1229"/>
    </row>
    <row r="6" spans="1:23" ht="27.75" customHeight="1">
      <c r="A6" s="1236" t="s">
        <v>25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36"/>
      <c r="U6" s="1236"/>
      <c r="V6" s="1236"/>
      <c r="W6" s="1236"/>
    </row>
    <row r="7" spans="1:23" ht="22.5" customHeight="1">
      <c r="A7" s="1140">
        <v>1</v>
      </c>
      <c r="B7" s="1237" t="s">
        <v>422</v>
      </c>
      <c r="C7" s="1132" t="s">
        <v>370</v>
      </c>
      <c r="D7" s="488">
        <v>200</v>
      </c>
      <c r="E7" s="1138">
        <v>200</v>
      </c>
      <c r="F7" s="487">
        <v>200</v>
      </c>
      <c r="G7" s="1138" t="s">
        <v>332</v>
      </c>
      <c r="H7" s="488">
        <v>200</v>
      </c>
      <c r="I7" s="1132">
        <v>200</v>
      </c>
      <c r="J7" s="488"/>
      <c r="K7" s="1138" t="s">
        <v>15</v>
      </c>
      <c r="L7" s="487"/>
      <c r="M7" s="331">
        <f>T7/(1000/E7)</f>
        <v>29.75</v>
      </c>
      <c r="N7" s="331">
        <f>T7/(1000/F7)</f>
        <v>29.75</v>
      </c>
      <c r="O7" s="331">
        <f>T7/(1000/H7)</f>
        <v>29.75</v>
      </c>
      <c r="P7" s="331" t="s">
        <v>15</v>
      </c>
      <c r="Q7" s="490">
        <v>46</v>
      </c>
      <c r="R7" s="1111" t="s">
        <v>410</v>
      </c>
      <c r="S7" s="490" t="s">
        <v>219</v>
      </c>
      <c r="T7" s="332">
        <f t="shared" ref="T7:T45" si="0">U7/Q7</f>
        <v>148.75</v>
      </c>
      <c r="U7" s="505">
        <f>'[2]Прайс опт кратко'!$U$7*1.15</f>
        <v>6842.5</v>
      </c>
      <c r="V7" s="496">
        <f>ROUNDUP(U7*1.15,0)</f>
        <v>7869</v>
      </c>
      <c r="W7" s="496">
        <f>ROUNDUP(U7*1.3,0)</f>
        <v>8896</v>
      </c>
    </row>
    <row r="8" spans="1:23" ht="25.5" customHeight="1">
      <c r="A8" s="1140"/>
      <c r="B8" s="1237"/>
      <c r="C8" s="1133"/>
      <c r="D8" s="492">
        <v>200</v>
      </c>
      <c r="E8" s="1138"/>
      <c r="F8" s="487">
        <v>200</v>
      </c>
      <c r="G8" s="1138"/>
      <c r="H8" s="492">
        <v>200</v>
      </c>
      <c r="I8" s="1133"/>
      <c r="J8" s="492"/>
      <c r="K8" s="1138"/>
      <c r="L8" s="487"/>
      <c r="M8" s="331">
        <f>T8/(1000/E7)</f>
        <v>31.24</v>
      </c>
      <c r="N8" s="331">
        <f>T8/(1000/F8)</f>
        <v>31.24</v>
      </c>
      <c r="O8" s="331">
        <f>T8/(1000/H8)</f>
        <v>31.24</v>
      </c>
      <c r="P8" s="331" t="s">
        <v>15</v>
      </c>
      <c r="Q8" s="490">
        <v>22</v>
      </c>
      <c r="R8" s="1112"/>
      <c r="S8" s="334" t="str">
        <f>'[1]прайс быт.'!I10</f>
        <v>22 кг</v>
      </c>
      <c r="T8" s="332">
        <f t="shared" si="0"/>
        <v>156.19</v>
      </c>
      <c r="U8" s="506">
        <f>'[2]Прайс опт кратко'!$U$8*1.15</f>
        <v>3436.2</v>
      </c>
      <c r="V8" s="496">
        <f t="shared" ref="V8:V70" si="1">ROUNDUP(U8*1.15,0)</f>
        <v>3952</v>
      </c>
      <c r="W8" s="496">
        <f>ROUNDUP(U8*1.3,0)</f>
        <v>4468</v>
      </c>
    </row>
    <row r="9" spans="1:23" ht="21" customHeight="1">
      <c r="A9" s="1140"/>
      <c r="B9" s="1237"/>
      <c r="C9" s="1133"/>
      <c r="D9" s="492"/>
      <c r="E9" s="1138"/>
      <c r="F9" s="487"/>
      <c r="G9" s="1138"/>
      <c r="H9" s="492"/>
      <c r="I9" s="1133"/>
      <c r="J9" s="492"/>
      <c r="K9" s="1138"/>
      <c r="L9" s="488"/>
      <c r="M9" s="1147" t="s">
        <v>15</v>
      </c>
      <c r="N9" s="1147" t="s">
        <v>15</v>
      </c>
      <c r="O9" s="1147" t="s">
        <v>15</v>
      </c>
      <c r="P9" s="1147" t="s">
        <v>15</v>
      </c>
      <c r="Q9" s="490">
        <v>10</v>
      </c>
      <c r="R9" s="1111" t="s">
        <v>411</v>
      </c>
      <c r="S9" s="334" t="str">
        <f>'[1]прайс быт.'!I11</f>
        <v>10 кг</v>
      </c>
      <c r="T9" s="332">
        <f t="shared" si="0"/>
        <v>168.25</v>
      </c>
      <c r="U9" s="506">
        <f>'[2]Прайс опт кратко'!$U$9*1.15</f>
        <v>1682.45</v>
      </c>
      <c r="V9" s="496">
        <f t="shared" si="1"/>
        <v>1935</v>
      </c>
      <c r="W9" s="496">
        <f>ROUNDUP(U9*1.3,0)</f>
        <v>2188</v>
      </c>
    </row>
    <row r="10" spans="1:23" ht="20.25" customHeight="1">
      <c r="A10" s="1140"/>
      <c r="B10" s="1237"/>
      <c r="C10" s="1133"/>
      <c r="D10" s="492"/>
      <c r="E10" s="1138"/>
      <c r="F10" s="487"/>
      <c r="G10" s="1138"/>
      <c r="H10" s="492"/>
      <c r="I10" s="1133"/>
      <c r="J10" s="492"/>
      <c r="K10" s="1138"/>
      <c r="L10" s="492"/>
      <c r="M10" s="1148"/>
      <c r="N10" s="1148"/>
      <c r="O10" s="1148"/>
      <c r="P10" s="1148"/>
      <c r="Q10" s="490">
        <v>3.2</v>
      </c>
      <c r="R10" s="1150"/>
      <c r="S10" s="334" t="str">
        <f>'[1]прайс быт.'!I12</f>
        <v>3,2 кг</v>
      </c>
      <c r="T10" s="332">
        <f t="shared" si="0"/>
        <v>176.81</v>
      </c>
      <c r="U10" s="506">
        <f>'[2]Прайс опт кратко'!$U$10*1.15</f>
        <v>565.79999999999995</v>
      </c>
      <c r="V10" s="496">
        <f t="shared" si="1"/>
        <v>651</v>
      </c>
      <c r="W10" s="496">
        <f t="shared" ref="W10:W36" si="2">ROUNDUP(U10*1.3,0)</f>
        <v>736</v>
      </c>
    </row>
    <row r="11" spans="1:23" ht="23.25" customHeight="1">
      <c r="A11" s="1140"/>
      <c r="B11" s="1237"/>
      <c r="C11" s="1134"/>
      <c r="D11" s="489"/>
      <c r="E11" s="1138"/>
      <c r="F11" s="487"/>
      <c r="G11" s="1138"/>
      <c r="H11" s="489"/>
      <c r="I11" s="1134"/>
      <c r="J11" s="489"/>
      <c r="K11" s="1138"/>
      <c r="L11" s="489"/>
      <c r="M11" s="1149"/>
      <c r="N11" s="1149"/>
      <c r="O11" s="1149"/>
      <c r="P11" s="1149"/>
      <c r="Q11" s="490">
        <v>1</v>
      </c>
      <c r="R11" s="1112"/>
      <c r="S11" s="334" t="str">
        <f>'[1]прайс быт.'!I13</f>
        <v>1 кг</v>
      </c>
      <c r="T11" s="332">
        <f t="shared" si="0"/>
        <v>186.3</v>
      </c>
      <c r="U11" s="506">
        <f>'[2]Прайс опт кратко'!$U$11*1.15</f>
        <v>186.3</v>
      </c>
      <c r="V11" s="496">
        <f t="shared" si="1"/>
        <v>215</v>
      </c>
      <c r="W11" s="496">
        <f t="shared" si="2"/>
        <v>243</v>
      </c>
    </row>
    <row r="12" spans="1:23" ht="23.25" customHeight="1">
      <c r="A12" s="1144">
        <v>2</v>
      </c>
      <c r="B12" s="1238" t="s">
        <v>386</v>
      </c>
      <c r="C12" s="1113" t="s">
        <v>333</v>
      </c>
      <c r="D12" s="464">
        <v>100</v>
      </c>
      <c r="E12" s="1130">
        <v>100</v>
      </c>
      <c r="F12" s="477">
        <v>280</v>
      </c>
      <c r="G12" s="1130">
        <v>280</v>
      </c>
      <c r="H12" s="464">
        <v>180</v>
      </c>
      <c r="I12" s="1113">
        <v>180</v>
      </c>
      <c r="J12" s="464">
        <v>400</v>
      </c>
      <c r="K12" s="1130">
        <v>400</v>
      </c>
      <c r="L12" s="477"/>
      <c r="M12" s="335">
        <f>T12/(1000/D12)</f>
        <v>14.95</v>
      </c>
      <c r="N12" s="335">
        <f>T12/(1000/F12)</f>
        <v>41.86</v>
      </c>
      <c r="O12" s="335">
        <f>T12/(1000/H12)</f>
        <v>26.91</v>
      </c>
      <c r="P12" s="335">
        <f>T12/(1000/J12)</f>
        <v>59.8</v>
      </c>
      <c r="Q12" s="475">
        <v>50</v>
      </c>
      <c r="R12" s="1105" t="s">
        <v>410</v>
      </c>
      <c r="S12" s="475" t="s">
        <v>221</v>
      </c>
      <c r="T12" s="336">
        <f t="shared" si="0"/>
        <v>149.5</v>
      </c>
      <c r="U12" s="505">
        <f>'[2]Прайс опт кратко'!$U$12*1.15</f>
        <v>7475</v>
      </c>
      <c r="V12" s="337">
        <f t="shared" si="1"/>
        <v>8597</v>
      </c>
      <c r="W12" s="337">
        <f t="shared" si="2"/>
        <v>9718</v>
      </c>
    </row>
    <row r="13" spans="1:23" ht="24.75" customHeight="1">
      <c r="A13" s="1144"/>
      <c r="B13" s="1238"/>
      <c r="C13" s="1114"/>
      <c r="D13" s="465">
        <v>100</v>
      </c>
      <c r="E13" s="1130"/>
      <c r="F13" s="477">
        <v>280</v>
      </c>
      <c r="G13" s="1130"/>
      <c r="H13" s="465">
        <v>180</v>
      </c>
      <c r="I13" s="1114"/>
      <c r="J13" s="465">
        <v>400</v>
      </c>
      <c r="K13" s="1130"/>
      <c r="L13" s="477"/>
      <c r="M13" s="335">
        <f>T13/(1000/D13)</f>
        <v>16</v>
      </c>
      <c r="N13" s="335">
        <f>T13/(1000/F13)</f>
        <v>44.79</v>
      </c>
      <c r="O13" s="335">
        <f>T13/(1000/H13)</f>
        <v>28.8</v>
      </c>
      <c r="P13" s="335">
        <f>T13/(1000/J13)</f>
        <v>63.99</v>
      </c>
      <c r="Q13" s="475">
        <v>26</v>
      </c>
      <c r="R13" s="1107"/>
      <c r="S13" s="338" t="str">
        <f>'[1]прайс быт.'!I14</f>
        <v>26 кг</v>
      </c>
      <c r="T13" s="336">
        <f t="shared" si="0"/>
        <v>159.97999999999999</v>
      </c>
      <c r="U13" s="506">
        <f>'[2]Прайс опт кратко'!$U$13*1.15</f>
        <v>4159.55</v>
      </c>
      <c r="V13" s="337">
        <f t="shared" si="1"/>
        <v>4784</v>
      </c>
      <c r="W13" s="337">
        <f t="shared" si="2"/>
        <v>5408</v>
      </c>
    </row>
    <row r="14" spans="1:23" ht="25.5" customHeight="1">
      <c r="A14" s="1144"/>
      <c r="B14" s="1238"/>
      <c r="C14" s="1114"/>
      <c r="D14" s="465"/>
      <c r="E14" s="1130"/>
      <c r="F14" s="477"/>
      <c r="G14" s="1130"/>
      <c r="H14" s="465"/>
      <c r="I14" s="1114"/>
      <c r="J14" s="465"/>
      <c r="K14" s="1130"/>
      <c r="L14" s="464"/>
      <c r="M14" s="1108" t="s">
        <v>15</v>
      </c>
      <c r="N14" s="1108" t="s">
        <v>15</v>
      </c>
      <c r="O14" s="1108" t="s">
        <v>15</v>
      </c>
      <c r="P14" s="1108" t="s">
        <v>15</v>
      </c>
      <c r="Q14" s="475">
        <v>11</v>
      </c>
      <c r="R14" s="1105" t="s">
        <v>411</v>
      </c>
      <c r="S14" s="338" t="str">
        <f>'[1]прайс быт.'!I15</f>
        <v>11 кг</v>
      </c>
      <c r="T14" s="336">
        <f t="shared" si="0"/>
        <v>168.84</v>
      </c>
      <c r="U14" s="506">
        <f>'[2]Прайс опт кратко'!$U$14*1.15</f>
        <v>1857.25</v>
      </c>
      <c r="V14" s="337">
        <f t="shared" si="1"/>
        <v>2136</v>
      </c>
      <c r="W14" s="337">
        <f t="shared" si="2"/>
        <v>2415</v>
      </c>
    </row>
    <row r="15" spans="1:23" ht="24.75" customHeight="1">
      <c r="A15" s="1144"/>
      <c r="B15" s="1238"/>
      <c r="C15" s="1114"/>
      <c r="D15" s="465"/>
      <c r="E15" s="1130"/>
      <c r="F15" s="477"/>
      <c r="G15" s="1130"/>
      <c r="H15" s="465"/>
      <c r="I15" s="1114"/>
      <c r="J15" s="465"/>
      <c r="K15" s="1130"/>
      <c r="L15" s="465"/>
      <c r="M15" s="1109"/>
      <c r="N15" s="1109"/>
      <c r="O15" s="1109"/>
      <c r="P15" s="1109"/>
      <c r="Q15" s="475">
        <v>3.2</v>
      </c>
      <c r="R15" s="1106"/>
      <c r="S15" s="338" t="str">
        <f>'[1]прайс быт.'!I16</f>
        <v>3,5 кг</v>
      </c>
      <c r="T15" s="336">
        <f t="shared" si="0"/>
        <v>200.53</v>
      </c>
      <c r="U15" s="506">
        <f>'[2]Прайс опт кратко'!$U$15*1.15</f>
        <v>641.70000000000005</v>
      </c>
      <c r="V15" s="337">
        <f t="shared" si="1"/>
        <v>738</v>
      </c>
      <c r="W15" s="337">
        <f t="shared" si="2"/>
        <v>835</v>
      </c>
    </row>
    <row r="16" spans="1:23" ht="36" customHeight="1">
      <c r="A16" s="1144"/>
      <c r="B16" s="1238"/>
      <c r="C16" s="1115"/>
      <c r="D16" s="466"/>
      <c r="E16" s="1130"/>
      <c r="F16" s="477"/>
      <c r="G16" s="1130"/>
      <c r="H16" s="466"/>
      <c r="I16" s="1115"/>
      <c r="J16" s="466"/>
      <c r="K16" s="1130"/>
      <c r="L16" s="466"/>
      <c r="M16" s="1110"/>
      <c r="N16" s="1110"/>
      <c r="O16" s="1110"/>
      <c r="P16" s="1110"/>
      <c r="Q16" s="475">
        <v>1.1000000000000001</v>
      </c>
      <c r="R16" s="1107"/>
      <c r="S16" s="338" t="str">
        <f>'[1]прайс быт.'!I17</f>
        <v>1,1 кг</v>
      </c>
      <c r="T16" s="336">
        <f t="shared" si="0"/>
        <v>196.55</v>
      </c>
      <c r="U16" s="506">
        <f>'[2]Прайс опт кратко'!$U$16*1.15</f>
        <v>216.2</v>
      </c>
      <c r="V16" s="337">
        <f t="shared" si="1"/>
        <v>249</v>
      </c>
      <c r="W16" s="337">
        <f t="shared" si="2"/>
        <v>282</v>
      </c>
    </row>
    <row r="17" spans="1:23" ht="24.75">
      <c r="A17" s="1140">
        <v>3</v>
      </c>
      <c r="B17" s="1237" t="s">
        <v>387</v>
      </c>
      <c r="C17" s="1132" t="s">
        <v>41</v>
      </c>
      <c r="D17" s="488">
        <v>100</v>
      </c>
      <c r="E17" s="1138">
        <v>100</v>
      </c>
      <c r="F17" s="487">
        <v>280</v>
      </c>
      <c r="G17" s="1138">
        <v>280</v>
      </c>
      <c r="H17" s="488">
        <v>180</v>
      </c>
      <c r="I17" s="1132">
        <v>180</v>
      </c>
      <c r="J17" s="488">
        <v>400</v>
      </c>
      <c r="K17" s="1138">
        <v>400</v>
      </c>
      <c r="L17" s="487"/>
      <c r="M17" s="339">
        <f>T17/(1000/D17)</f>
        <v>17.440000000000001</v>
      </c>
      <c r="N17" s="339">
        <f>T17/(1000/F17)</f>
        <v>48.82</v>
      </c>
      <c r="O17" s="339">
        <f>T17/(1000/H17)</f>
        <v>31.38</v>
      </c>
      <c r="P17" s="339">
        <f>T17/(1000/J17)</f>
        <v>69.739999999999995</v>
      </c>
      <c r="Q17" s="497">
        <v>50</v>
      </c>
      <c r="R17" s="1127" t="s">
        <v>410</v>
      </c>
      <c r="S17" s="490" t="s">
        <v>221</v>
      </c>
      <c r="T17" s="332">
        <f t="shared" si="0"/>
        <v>174.36</v>
      </c>
      <c r="U17" s="505">
        <f>'[2]Прайс опт кратко'!$U$17*1.15</f>
        <v>8718.15</v>
      </c>
      <c r="V17" s="496">
        <f t="shared" si="1"/>
        <v>10026</v>
      </c>
      <c r="W17" s="496">
        <f t="shared" si="2"/>
        <v>11334</v>
      </c>
    </row>
    <row r="18" spans="1:23" ht="23.25">
      <c r="A18" s="1140"/>
      <c r="B18" s="1237"/>
      <c r="C18" s="1133"/>
      <c r="D18" s="492">
        <v>100</v>
      </c>
      <c r="E18" s="1138"/>
      <c r="F18" s="487">
        <v>280</v>
      </c>
      <c r="G18" s="1138"/>
      <c r="H18" s="492">
        <v>180</v>
      </c>
      <c r="I18" s="1133"/>
      <c r="J18" s="492">
        <v>400</v>
      </c>
      <c r="K18" s="1138"/>
      <c r="L18" s="487"/>
      <c r="M18" s="339">
        <f>T18/(1000/D18)</f>
        <v>18.760000000000002</v>
      </c>
      <c r="N18" s="339">
        <f>T18/(1000/F18)</f>
        <v>52.51</v>
      </c>
      <c r="O18" s="339">
        <f>T18/(1000/H18)</f>
        <v>33.76</v>
      </c>
      <c r="P18" s="339">
        <f>T18/(1000/J18)</f>
        <v>75.02</v>
      </c>
      <c r="Q18" s="497">
        <v>24</v>
      </c>
      <c r="R18" s="1129"/>
      <c r="S18" s="334" t="s">
        <v>160</v>
      </c>
      <c r="T18" s="332">
        <f t="shared" si="0"/>
        <v>187.55</v>
      </c>
      <c r="U18" s="525">
        <f>'[2]Прайс опт кратко'!$U$18*1.15</f>
        <v>4501.1000000000004</v>
      </c>
      <c r="V18" s="496">
        <f t="shared" si="1"/>
        <v>5177</v>
      </c>
      <c r="W18" s="496">
        <f t="shared" si="2"/>
        <v>5852</v>
      </c>
    </row>
    <row r="19" spans="1:23" ht="24.75">
      <c r="A19" s="1140"/>
      <c r="B19" s="1237"/>
      <c r="C19" s="1133"/>
      <c r="D19" s="492"/>
      <c r="E19" s="1138"/>
      <c r="F19" s="487"/>
      <c r="G19" s="1138"/>
      <c r="H19" s="492"/>
      <c r="I19" s="1133"/>
      <c r="J19" s="492"/>
      <c r="K19" s="1138"/>
      <c r="L19" s="488"/>
      <c r="M19" s="1116" t="s">
        <v>15</v>
      </c>
      <c r="N19" s="1116" t="s">
        <v>15</v>
      </c>
      <c r="O19" s="1116" t="s">
        <v>15</v>
      </c>
      <c r="P19" s="1116" t="s">
        <v>15</v>
      </c>
      <c r="Q19" s="497">
        <v>11</v>
      </c>
      <c r="R19" s="1127" t="s">
        <v>411</v>
      </c>
      <c r="S19" s="334" t="s">
        <v>135</v>
      </c>
      <c r="T19" s="332">
        <f t="shared" si="0"/>
        <v>196.65</v>
      </c>
      <c r="U19" s="506">
        <f>'[2]Прайс опт кратко'!$U$19*1.15</f>
        <v>2163.15</v>
      </c>
      <c r="V19" s="496">
        <f t="shared" si="1"/>
        <v>2488</v>
      </c>
      <c r="W19" s="496">
        <f t="shared" si="2"/>
        <v>2813</v>
      </c>
    </row>
    <row r="20" spans="1:23" ht="24.75">
      <c r="A20" s="1140"/>
      <c r="B20" s="1237"/>
      <c r="C20" s="1133"/>
      <c r="D20" s="492"/>
      <c r="E20" s="1138"/>
      <c r="F20" s="487"/>
      <c r="G20" s="1138"/>
      <c r="H20" s="492"/>
      <c r="I20" s="1133"/>
      <c r="J20" s="492"/>
      <c r="K20" s="1138"/>
      <c r="L20" s="492"/>
      <c r="M20" s="1117"/>
      <c r="N20" s="1117"/>
      <c r="O20" s="1117"/>
      <c r="P20" s="1117"/>
      <c r="Q20" s="497">
        <v>3.5</v>
      </c>
      <c r="R20" s="1128"/>
      <c r="S20" s="334" t="s">
        <v>170</v>
      </c>
      <c r="T20" s="332">
        <f t="shared" si="0"/>
        <v>213.9</v>
      </c>
      <c r="U20" s="506">
        <f>'[2]Прайс опт кратко'!$U$20*1.15</f>
        <v>748.65</v>
      </c>
      <c r="V20" s="496">
        <f t="shared" si="1"/>
        <v>861</v>
      </c>
      <c r="W20" s="496">
        <f t="shared" si="2"/>
        <v>974</v>
      </c>
    </row>
    <row r="21" spans="1:23" ht="24.75">
      <c r="A21" s="1140"/>
      <c r="B21" s="1237"/>
      <c r="C21" s="1134"/>
      <c r="D21" s="489"/>
      <c r="E21" s="1138"/>
      <c r="F21" s="487"/>
      <c r="G21" s="1138"/>
      <c r="H21" s="489"/>
      <c r="I21" s="1134"/>
      <c r="J21" s="489"/>
      <c r="K21" s="1138"/>
      <c r="L21" s="489"/>
      <c r="M21" s="1118"/>
      <c r="N21" s="1118"/>
      <c r="O21" s="1118"/>
      <c r="P21" s="1118"/>
      <c r="Q21" s="497">
        <v>1.1000000000000001</v>
      </c>
      <c r="R21" s="1129"/>
      <c r="S21" s="334" t="s">
        <v>171</v>
      </c>
      <c r="T21" s="332">
        <f t="shared" si="0"/>
        <v>228.95</v>
      </c>
      <c r="U21" s="506">
        <f>'[2]Прайс опт кратко'!$U$21*1.15</f>
        <v>251.85</v>
      </c>
      <c r="V21" s="496">
        <f t="shared" si="1"/>
        <v>290</v>
      </c>
      <c r="W21" s="496">
        <f t="shared" si="2"/>
        <v>328</v>
      </c>
    </row>
    <row r="22" spans="1:23" ht="18.75" customHeight="1">
      <c r="A22" s="1144">
        <v>4</v>
      </c>
      <c r="B22" s="1238" t="s">
        <v>388</v>
      </c>
      <c r="C22" s="1113" t="s">
        <v>42</v>
      </c>
      <c r="D22" s="464">
        <v>100</v>
      </c>
      <c r="E22" s="1130">
        <v>100</v>
      </c>
      <c r="F22" s="477">
        <v>280</v>
      </c>
      <c r="G22" s="1130">
        <v>280</v>
      </c>
      <c r="H22" s="464">
        <v>180</v>
      </c>
      <c r="I22" s="1113">
        <v>180</v>
      </c>
      <c r="J22" s="464">
        <v>400</v>
      </c>
      <c r="K22" s="1130">
        <v>400</v>
      </c>
      <c r="L22" s="477"/>
      <c r="M22" s="335">
        <f>T22/(1000/D22)</f>
        <v>20.89</v>
      </c>
      <c r="N22" s="335">
        <f>T22/(1000/F22)</f>
        <v>58.49</v>
      </c>
      <c r="O22" s="335">
        <f>T22/(1000/H22)</f>
        <v>37.6</v>
      </c>
      <c r="P22" s="335">
        <f>T22/(1000/J22)</f>
        <v>83.56</v>
      </c>
      <c r="Q22" s="475">
        <v>50</v>
      </c>
      <c r="R22" s="1105" t="s">
        <v>410</v>
      </c>
      <c r="S22" s="475" t="s">
        <v>221</v>
      </c>
      <c r="T22" s="336">
        <f t="shared" si="0"/>
        <v>208.91</v>
      </c>
      <c r="U22" s="505">
        <f>'[2]Прайс опт кратко'!$U$22*1.15</f>
        <v>10445.450000000001</v>
      </c>
      <c r="V22" s="337">
        <f t="shared" si="1"/>
        <v>12013</v>
      </c>
      <c r="W22" s="337">
        <f t="shared" si="2"/>
        <v>13580</v>
      </c>
    </row>
    <row r="23" spans="1:23" ht="20.25" customHeight="1">
      <c r="A23" s="1144"/>
      <c r="B23" s="1238"/>
      <c r="C23" s="1114"/>
      <c r="D23" s="465">
        <v>100</v>
      </c>
      <c r="E23" s="1130"/>
      <c r="F23" s="477">
        <v>280</v>
      </c>
      <c r="G23" s="1130"/>
      <c r="H23" s="465">
        <v>180</v>
      </c>
      <c r="I23" s="1114"/>
      <c r="J23" s="465">
        <v>400</v>
      </c>
      <c r="K23" s="1130"/>
      <c r="L23" s="477"/>
      <c r="M23" s="335">
        <f>T23/(1000/D23)</f>
        <v>22.35</v>
      </c>
      <c r="N23" s="335">
        <f>T23/(1000/F23)</f>
        <v>62.59</v>
      </c>
      <c r="O23" s="335">
        <f>T23/(1000/H23)</f>
        <v>40.24</v>
      </c>
      <c r="P23" s="335">
        <f>T23/(1000/J23)</f>
        <v>89.41</v>
      </c>
      <c r="Q23" s="475">
        <v>24</v>
      </c>
      <c r="R23" s="1107"/>
      <c r="S23" s="338" t="s">
        <v>160</v>
      </c>
      <c r="T23" s="336">
        <f t="shared" si="0"/>
        <v>223.53</v>
      </c>
      <c r="U23" s="506">
        <f>'[2]Прайс опт кратко'!$U$23*1.15</f>
        <v>5364.75</v>
      </c>
      <c r="V23" s="337">
        <f>ROUNDUP(U23*1.15,0)</f>
        <v>6170</v>
      </c>
      <c r="W23" s="337">
        <f t="shared" si="2"/>
        <v>6975</v>
      </c>
    </row>
    <row r="24" spans="1:23" ht="24.75" customHeight="1">
      <c r="A24" s="1144"/>
      <c r="B24" s="1238"/>
      <c r="C24" s="1114"/>
      <c r="D24" s="465"/>
      <c r="E24" s="1130"/>
      <c r="F24" s="477"/>
      <c r="G24" s="1130"/>
      <c r="H24" s="465"/>
      <c r="I24" s="1114"/>
      <c r="J24" s="465"/>
      <c r="K24" s="1130"/>
      <c r="L24" s="464"/>
      <c r="M24" s="1108"/>
      <c r="N24" s="1108"/>
      <c r="O24" s="1108"/>
      <c r="P24" s="1108"/>
      <c r="Q24" s="475">
        <v>10.5</v>
      </c>
      <c r="R24" s="1105" t="s">
        <v>411</v>
      </c>
      <c r="S24" s="338" t="s">
        <v>131</v>
      </c>
      <c r="T24" s="336">
        <v>209</v>
      </c>
      <c r="U24" s="504">
        <f>'[2]Прайс опт кратко'!$U$24*1.15</f>
        <v>2524.25</v>
      </c>
      <c r="V24" s="337">
        <f t="shared" si="1"/>
        <v>2903</v>
      </c>
      <c r="W24" s="337">
        <f t="shared" si="2"/>
        <v>3282</v>
      </c>
    </row>
    <row r="25" spans="1:23" ht="21.75" customHeight="1">
      <c r="A25" s="1144"/>
      <c r="B25" s="1238"/>
      <c r="C25" s="1114"/>
      <c r="D25" s="465"/>
      <c r="E25" s="1130"/>
      <c r="F25" s="477"/>
      <c r="G25" s="1130"/>
      <c r="H25" s="465"/>
      <c r="I25" s="1114"/>
      <c r="J25" s="465"/>
      <c r="K25" s="1130"/>
      <c r="L25" s="465"/>
      <c r="M25" s="1109"/>
      <c r="N25" s="1109"/>
      <c r="O25" s="1109"/>
      <c r="P25" s="1109"/>
      <c r="Q25" s="475">
        <v>3.3</v>
      </c>
      <c r="R25" s="1106"/>
      <c r="S25" s="338" t="s">
        <v>130</v>
      </c>
      <c r="T25" s="336">
        <f t="shared" ref="T25" si="3">U25/Q25</f>
        <v>257.52999999999997</v>
      </c>
      <c r="U25" s="504">
        <f>'[2]Прайс опт кратко'!$U$25*1.15</f>
        <v>849.85</v>
      </c>
      <c r="V25" s="337">
        <f t="shared" si="1"/>
        <v>978</v>
      </c>
      <c r="W25" s="337">
        <f t="shared" si="2"/>
        <v>1105</v>
      </c>
    </row>
    <row r="26" spans="1:23" ht="45.75" customHeight="1">
      <c r="A26" s="1144"/>
      <c r="B26" s="1238"/>
      <c r="C26" s="1115"/>
      <c r="D26" s="466"/>
      <c r="E26" s="1130"/>
      <c r="F26" s="477"/>
      <c r="G26" s="1130"/>
      <c r="H26" s="466"/>
      <c r="I26" s="1115"/>
      <c r="J26" s="466"/>
      <c r="K26" s="1130"/>
      <c r="L26" s="466"/>
      <c r="M26" s="1110"/>
      <c r="N26" s="1110"/>
      <c r="O26" s="1110"/>
      <c r="P26" s="1110"/>
      <c r="Q26" s="475">
        <v>1</v>
      </c>
      <c r="R26" s="1107"/>
      <c r="S26" s="338" t="s">
        <v>171</v>
      </c>
      <c r="T26" s="336">
        <v>246.36</v>
      </c>
      <c r="U26" s="524">
        <f>'[2]Прайс опт кратко'!$U$26*1.15</f>
        <v>311.64999999999998</v>
      </c>
      <c r="V26" s="337">
        <f t="shared" si="1"/>
        <v>359</v>
      </c>
      <c r="W26" s="337">
        <f t="shared" si="2"/>
        <v>406</v>
      </c>
    </row>
    <row r="27" spans="1:23" ht="70.5" customHeight="1">
      <c r="A27" s="490">
        <v>5</v>
      </c>
      <c r="B27" s="507" t="s">
        <v>389</v>
      </c>
      <c r="C27" s="487" t="s">
        <v>77</v>
      </c>
      <c r="D27" s="486"/>
      <c r="E27" s="487" t="s">
        <v>15</v>
      </c>
      <c r="F27" s="487"/>
      <c r="G27" s="487">
        <v>100</v>
      </c>
      <c r="H27" s="487"/>
      <c r="I27" s="487">
        <v>50</v>
      </c>
      <c r="J27" s="487"/>
      <c r="K27" s="487" t="s">
        <v>15</v>
      </c>
      <c r="L27" s="487"/>
      <c r="M27" s="487" t="s">
        <v>15</v>
      </c>
      <c r="N27" s="340">
        <v>5.9</v>
      </c>
      <c r="O27" s="340">
        <v>2.95</v>
      </c>
      <c r="P27" s="487" t="s">
        <v>15</v>
      </c>
      <c r="Q27" s="490">
        <v>25</v>
      </c>
      <c r="R27" s="520" t="s">
        <v>341</v>
      </c>
      <c r="S27" s="490" t="s">
        <v>224</v>
      </c>
      <c r="T27" s="332">
        <f t="shared" si="0"/>
        <v>67.849999999999994</v>
      </c>
      <c r="U27" s="505">
        <f>'[2]Прайс опт кратко'!$U$27*1.15</f>
        <v>1696.25</v>
      </c>
      <c r="V27" s="496">
        <f t="shared" si="1"/>
        <v>1951</v>
      </c>
      <c r="W27" s="496">
        <f t="shared" si="2"/>
        <v>2206</v>
      </c>
    </row>
    <row r="28" spans="1:23" ht="40.5" customHeight="1">
      <c r="A28" s="1144">
        <v>6</v>
      </c>
      <c r="B28" s="1238" t="s">
        <v>390</v>
      </c>
      <c r="C28" s="1113" t="s">
        <v>334</v>
      </c>
      <c r="D28" s="464"/>
      <c r="E28" s="1130" t="s">
        <v>15</v>
      </c>
      <c r="F28" s="477">
        <v>300</v>
      </c>
      <c r="G28" s="477">
        <v>300</v>
      </c>
      <c r="H28" s="477">
        <v>200</v>
      </c>
      <c r="I28" s="477">
        <v>200</v>
      </c>
      <c r="J28" s="477"/>
      <c r="K28" s="1130" t="s">
        <v>15</v>
      </c>
      <c r="L28" s="477"/>
      <c r="M28" s="1108" t="s">
        <v>15</v>
      </c>
      <c r="N28" s="335">
        <f>T28/(1000/F28)</f>
        <v>22.76</v>
      </c>
      <c r="O28" s="335">
        <f>T28/(1000/H28)</f>
        <v>15.17</v>
      </c>
      <c r="P28" s="1113" t="s">
        <v>15</v>
      </c>
      <c r="Q28" s="475">
        <v>48</v>
      </c>
      <c r="R28" s="1105" t="s">
        <v>410</v>
      </c>
      <c r="S28" s="477" t="s">
        <v>226</v>
      </c>
      <c r="T28" s="336">
        <f t="shared" si="0"/>
        <v>75.849999999999994</v>
      </c>
      <c r="U28" s="508" t="s">
        <v>442</v>
      </c>
      <c r="V28" s="337">
        <f t="shared" si="1"/>
        <v>4188</v>
      </c>
      <c r="W28" s="337">
        <f t="shared" si="2"/>
        <v>4734</v>
      </c>
    </row>
    <row r="29" spans="1:23" ht="32.25" customHeight="1">
      <c r="A29" s="1144"/>
      <c r="B29" s="1238"/>
      <c r="C29" s="1114"/>
      <c r="D29" s="465"/>
      <c r="E29" s="1130"/>
      <c r="F29" s="477">
        <v>103</v>
      </c>
      <c r="G29" s="1130" t="s">
        <v>377</v>
      </c>
      <c r="H29" s="477">
        <v>69</v>
      </c>
      <c r="I29" s="1113" t="s">
        <v>378</v>
      </c>
      <c r="J29" s="464"/>
      <c r="K29" s="1130"/>
      <c r="L29" s="477"/>
      <c r="M29" s="1109"/>
      <c r="N29" s="335">
        <f>T29/(1000/F29)</f>
        <v>18.649999999999999</v>
      </c>
      <c r="O29" s="335">
        <f>T29/(1000/H29)</f>
        <v>12.5</v>
      </c>
      <c r="P29" s="1114"/>
      <c r="Q29" s="475">
        <v>65</v>
      </c>
      <c r="R29" s="1107"/>
      <c r="S29" s="475" t="s">
        <v>229</v>
      </c>
      <c r="T29" s="336">
        <f t="shared" si="0"/>
        <v>181.1</v>
      </c>
      <c r="U29" s="509">
        <f>'[2]Прайс опт кратко'!$U$29*1.15</f>
        <v>11771.4</v>
      </c>
      <c r="V29" s="337">
        <f t="shared" si="1"/>
        <v>13538</v>
      </c>
      <c r="W29" s="337">
        <f t="shared" si="2"/>
        <v>15303</v>
      </c>
    </row>
    <row r="30" spans="1:23" ht="32.25" customHeight="1">
      <c r="A30" s="1144"/>
      <c r="B30" s="1238"/>
      <c r="C30" s="1114"/>
      <c r="D30" s="465"/>
      <c r="E30" s="1130"/>
      <c r="F30" s="477">
        <v>103</v>
      </c>
      <c r="G30" s="1130"/>
      <c r="H30" s="477">
        <v>69</v>
      </c>
      <c r="I30" s="1114"/>
      <c r="J30" s="465"/>
      <c r="K30" s="1130"/>
      <c r="L30" s="477"/>
      <c r="M30" s="1109"/>
      <c r="N30" s="335">
        <f>T30/(1000/F30)</f>
        <v>19.96</v>
      </c>
      <c r="O30" s="335">
        <f>T30/(1000/H30)</f>
        <v>13.37</v>
      </c>
      <c r="P30" s="1114"/>
      <c r="Q30" s="475">
        <v>16</v>
      </c>
      <c r="R30" s="1105" t="s">
        <v>411</v>
      </c>
      <c r="S30" s="475" t="s">
        <v>230</v>
      </c>
      <c r="T30" s="336">
        <f t="shared" si="0"/>
        <v>193.78</v>
      </c>
      <c r="U30" s="509">
        <f>'[2]Прайс опт кратко'!$U$30*1.15</f>
        <v>3100.4</v>
      </c>
      <c r="V30" s="337">
        <f t="shared" si="1"/>
        <v>3566</v>
      </c>
      <c r="W30" s="337">
        <f t="shared" si="2"/>
        <v>4031</v>
      </c>
    </row>
    <row r="31" spans="1:23" ht="30.75" customHeight="1">
      <c r="A31" s="1144"/>
      <c r="B31" s="1238"/>
      <c r="C31" s="1115"/>
      <c r="D31" s="466"/>
      <c r="E31" s="1130"/>
      <c r="F31" s="477">
        <v>103</v>
      </c>
      <c r="G31" s="1130"/>
      <c r="H31" s="477">
        <v>69</v>
      </c>
      <c r="I31" s="1115"/>
      <c r="J31" s="466"/>
      <c r="K31" s="1130"/>
      <c r="L31" s="477"/>
      <c r="M31" s="1110"/>
      <c r="N31" s="335">
        <f>T31/(1000/F31)</f>
        <v>21.37</v>
      </c>
      <c r="O31" s="335">
        <f>T31/(1000/H31)</f>
        <v>14.31</v>
      </c>
      <c r="P31" s="1115"/>
      <c r="Q31" s="475">
        <v>5</v>
      </c>
      <c r="R31" s="1107"/>
      <c r="S31" s="475" t="s">
        <v>231</v>
      </c>
      <c r="T31" s="336">
        <f t="shared" si="0"/>
        <v>207.46</v>
      </c>
      <c r="U31" s="509">
        <f>'[2]Прайс опт кратко'!$U$31*1.15</f>
        <v>1037.3</v>
      </c>
      <c r="V31" s="337">
        <f t="shared" si="1"/>
        <v>1193</v>
      </c>
      <c r="W31" s="337">
        <f t="shared" si="2"/>
        <v>1349</v>
      </c>
    </row>
    <row r="32" spans="1:23" ht="25.5" customHeight="1">
      <c r="A32" s="1140">
        <v>7</v>
      </c>
      <c r="B32" s="1237" t="s">
        <v>391</v>
      </c>
      <c r="C32" s="1132" t="s">
        <v>6</v>
      </c>
      <c r="D32" s="467"/>
      <c r="E32" s="1151" t="s">
        <v>232</v>
      </c>
      <c r="F32" s="1152"/>
      <c r="G32" s="1152"/>
      <c r="H32" s="1152"/>
      <c r="I32" s="1152"/>
      <c r="J32" s="1152"/>
      <c r="K32" s="1153"/>
      <c r="L32" s="468"/>
      <c r="M32" s="1102" t="str">
        <f>CONCATENATE(ROUND(T32*0.1,2),"-",ROUND(T32*0.23,2))</f>
        <v>14,6-33,58</v>
      </c>
      <c r="N32" s="1103"/>
      <c r="O32" s="1103"/>
      <c r="P32" s="1104"/>
      <c r="Q32" s="490">
        <v>9.5</v>
      </c>
      <c r="R32" s="520" t="s">
        <v>411</v>
      </c>
      <c r="S32" s="490" t="s">
        <v>233</v>
      </c>
      <c r="T32" s="332">
        <f t="shared" si="0"/>
        <v>145.99</v>
      </c>
      <c r="U32" s="505">
        <f>'[2]Прайс опт кратко'!$U$32*1.15</f>
        <v>1386.9</v>
      </c>
      <c r="V32" s="496">
        <f t="shared" si="1"/>
        <v>1595</v>
      </c>
      <c r="W32" s="496">
        <f t="shared" si="2"/>
        <v>1803</v>
      </c>
    </row>
    <row r="33" spans="1:24" ht="27.75" customHeight="1">
      <c r="A33" s="1140"/>
      <c r="B33" s="1237"/>
      <c r="C33" s="1133"/>
      <c r="D33" s="493"/>
      <c r="E33" s="1154"/>
      <c r="F33" s="1155"/>
      <c r="G33" s="1155"/>
      <c r="H33" s="1155"/>
      <c r="I33" s="1155"/>
      <c r="J33" s="1155"/>
      <c r="K33" s="1156"/>
      <c r="L33" s="494"/>
      <c r="M33" s="1102" t="str">
        <f>CONCATENATE(ROUND(T33*0.1,2),"-",ROUND(T33*0.23,2))</f>
        <v>13,64-31,37</v>
      </c>
      <c r="N33" s="1103"/>
      <c r="O33" s="1103"/>
      <c r="P33" s="1104"/>
      <c r="Q33" s="490">
        <v>21</v>
      </c>
      <c r="R33" s="1111" t="s">
        <v>410</v>
      </c>
      <c r="S33" s="490" t="s">
        <v>234</v>
      </c>
      <c r="T33" s="332">
        <f t="shared" si="0"/>
        <v>136.41</v>
      </c>
      <c r="U33" s="505">
        <f>'[2]Прайс опт кратко'!$U$33*1.15</f>
        <v>2864.65</v>
      </c>
      <c r="V33" s="496">
        <f t="shared" si="1"/>
        <v>3295</v>
      </c>
      <c r="W33" s="496">
        <f t="shared" si="2"/>
        <v>3725</v>
      </c>
    </row>
    <row r="34" spans="1:24" ht="32.25" customHeight="1">
      <c r="A34" s="1140"/>
      <c r="B34" s="1237"/>
      <c r="C34" s="1134"/>
      <c r="D34" s="469"/>
      <c r="E34" s="1157"/>
      <c r="F34" s="1158"/>
      <c r="G34" s="1158"/>
      <c r="H34" s="1158"/>
      <c r="I34" s="1158"/>
      <c r="J34" s="1158"/>
      <c r="K34" s="1159"/>
      <c r="L34" s="470"/>
      <c r="M34" s="1102" t="str">
        <f>CONCATENATE(ROUND(T34*0.1,2),"-",ROUND(T34*0.23,2))</f>
        <v>12,75-29,32</v>
      </c>
      <c r="N34" s="1103"/>
      <c r="O34" s="1103"/>
      <c r="P34" s="1104"/>
      <c r="Q34" s="490">
        <v>43</v>
      </c>
      <c r="R34" s="1112"/>
      <c r="S34" s="490" t="s">
        <v>235</v>
      </c>
      <c r="T34" s="332">
        <f t="shared" si="0"/>
        <v>127.49</v>
      </c>
      <c r="U34" s="505">
        <f>'[2]Прайс опт кратко'!$U$34*1.15</f>
        <v>5482.05</v>
      </c>
      <c r="V34" s="496">
        <f t="shared" si="1"/>
        <v>6305</v>
      </c>
      <c r="W34" s="496">
        <f t="shared" si="2"/>
        <v>7127</v>
      </c>
    </row>
    <row r="35" spans="1:24" ht="26.25" customHeight="1">
      <c r="A35" s="1144">
        <v>8</v>
      </c>
      <c r="B35" s="1238" t="s">
        <v>392</v>
      </c>
      <c r="C35" s="1113" t="s">
        <v>6</v>
      </c>
      <c r="D35" s="471"/>
      <c r="E35" s="1160" t="s">
        <v>193</v>
      </c>
      <c r="F35" s="1161"/>
      <c r="G35" s="1161"/>
      <c r="H35" s="1161"/>
      <c r="I35" s="1161"/>
      <c r="J35" s="1161"/>
      <c r="K35" s="1162"/>
      <c r="L35" s="472"/>
      <c r="M35" s="1088" t="str">
        <f t="shared" ref="M35:M40" si="4">CONCATENATE(ROUND(T35*0.15,2),"-",ROUND(T35*0.35,2))</f>
        <v>23,02-53,72</v>
      </c>
      <c r="N35" s="1101"/>
      <c r="O35" s="1101"/>
      <c r="P35" s="1091"/>
      <c r="Q35" s="475">
        <v>9.5</v>
      </c>
      <c r="R35" s="521" t="s">
        <v>411</v>
      </c>
      <c r="S35" s="475" t="s">
        <v>233</v>
      </c>
      <c r="T35" s="336">
        <f t="shared" si="0"/>
        <v>153.49</v>
      </c>
      <c r="U35" s="505">
        <f>'[2]Прайс опт кратко'!$U$35*1.15</f>
        <v>1458.2</v>
      </c>
      <c r="V35" s="337">
        <f t="shared" si="1"/>
        <v>1677</v>
      </c>
      <c r="W35" s="337">
        <f t="shared" si="2"/>
        <v>1896</v>
      </c>
    </row>
    <row r="36" spans="1:24" ht="28.5" customHeight="1">
      <c r="A36" s="1144"/>
      <c r="B36" s="1238"/>
      <c r="C36" s="1114"/>
      <c r="D36" s="484"/>
      <c r="E36" s="1163"/>
      <c r="F36" s="1164"/>
      <c r="G36" s="1164"/>
      <c r="H36" s="1164"/>
      <c r="I36" s="1164"/>
      <c r="J36" s="1164"/>
      <c r="K36" s="1165"/>
      <c r="L36" s="485"/>
      <c r="M36" s="1088" t="str">
        <f t="shared" si="4"/>
        <v>21,51-50,2</v>
      </c>
      <c r="N36" s="1101"/>
      <c r="O36" s="1101"/>
      <c r="P36" s="1091"/>
      <c r="Q36" s="475">
        <v>21</v>
      </c>
      <c r="R36" s="1105" t="s">
        <v>410</v>
      </c>
      <c r="S36" s="475" t="s">
        <v>234</v>
      </c>
      <c r="T36" s="336">
        <f t="shared" si="0"/>
        <v>143.41999999999999</v>
      </c>
      <c r="U36" s="505">
        <f>'[2]Прайс опт полный '!$U$36*1.15</f>
        <v>3011.85</v>
      </c>
      <c r="V36" s="337">
        <f t="shared" si="1"/>
        <v>3464</v>
      </c>
      <c r="W36" s="337">
        <f t="shared" si="2"/>
        <v>3916</v>
      </c>
    </row>
    <row r="37" spans="1:24" ht="33" customHeight="1">
      <c r="A37" s="1144"/>
      <c r="B37" s="1238"/>
      <c r="C37" s="1115"/>
      <c r="D37" s="473"/>
      <c r="E37" s="1166"/>
      <c r="F37" s="1167"/>
      <c r="G37" s="1167"/>
      <c r="H37" s="1167"/>
      <c r="I37" s="1167"/>
      <c r="J37" s="1167"/>
      <c r="K37" s="1168"/>
      <c r="L37" s="474"/>
      <c r="M37" s="1088" t="str">
        <f t="shared" si="4"/>
        <v>20,1-46,91</v>
      </c>
      <c r="N37" s="1101"/>
      <c r="O37" s="1101"/>
      <c r="P37" s="1091"/>
      <c r="Q37" s="475">
        <v>43</v>
      </c>
      <c r="R37" s="1107"/>
      <c r="S37" s="475" t="s">
        <v>235</v>
      </c>
      <c r="T37" s="336">
        <f t="shared" si="0"/>
        <v>134.02000000000001</v>
      </c>
      <c r="U37" s="505">
        <f>'[2]Прайс опт кратко'!$U$37*1.15</f>
        <v>5762.65</v>
      </c>
      <c r="V37" s="337">
        <f t="shared" si="1"/>
        <v>6628</v>
      </c>
      <c r="W37" s="337">
        <f>ROUNDUP(U37*1.3,0)</f>
        <v>7492</v>
      </c>
    </row>
    <row r="38" spans="1:24" ht="18.75" customHeight="1">
      <c r="A38" s="1111">
        <v>9</v>
      </c>
      <c r="B38" s="1239" t="s">
        <v>393</v>
      </c>
      <c r="C38" s="1132" t="s">
        <v>6</v>
      </c>
      <c r="D38" s="484"/>
      <c r="E38" s="1151" t="s">
        <v>193</v>
      </c>
      <c r="F38" s="1152"/>
      <c r="G38" s="1152"/>
      <c r="H38" s="1152"/>
      <c r="I38" s="1152"/>
      <c r="J38" s="1152"/>
      <c r="K38" s="1153"/>
      <c r="L38" s="485"/>
      <c r="M38" s="1102" t="str">
        <f t="shared" si="4"/>
        <v>21,9-51,1</v>
      </c>
      <c r="N38" s="1103"/>
      <c r="O38" s="1103"/>
      <c r="P38" s="1104"/>
      <c r="Q38" s="475">
        <v>9.5</v>
      </c>
      <c r="R38" s="520" t="s">
        <v>411</v>
      </c>
      <c r="S38" s="523" t="s">
        <v>342</v>
      </c>
      <c r="T38" s="347">
        <f t="shared" si="0"/>
        <v>145.99</v>
      </c>
      <c r="U38" s="505">
        <f>'[2]Прайс опт кратко'!$U$38*1.15</f>
        <v>1386.9</v>
      </c>
      <c r="V38" s="337"/>
      <c r="W38" s="337"/>
    </row>
    <row r="39" spans="1:24" ht="19.5" customHeight="1">
      <c r="A39" s="1150"/>
      <c r="B39" s="1240"/>
      <c r="C39" s="1133"/>
      <c r="D39" s="467"/>
      <c r="E39" s="1154"/>
      <c r="F39" s="1155"/>
      <c r="G39" s="1155"/>
      <c r="H39" s="1155"/>
      <c r="I39" s="1155"/>
      <c r="J39" s="1155"/>
      <c r="K39" s="1156"/>
      <c r="L39" s="468"/>
      <c r="M39" s="1102" t="str">
        <f t="shared" si="4"/>
        <v>20,46-47,74</v>
      </c>
      <c r="N39" s="1103"/>
      <c r="O39" s="1103"/>
      <c r="P39" s="1104"/>
      <c r="Q39" s="490">
        <v>21</v>
      </c>
      <c r="R39" s="1111" t="s">
        <v>410</v>
      </c>
      <c r="S39" s="490" t="s">
        <v>161</v>
      </c>
      <c r="T39" s="332">
        <f t="shared" si="0"/>
        <v>136.41</v>
      </c>
      <c r="U39" s="505">
        <f>'[2]Прайс опт кратко'!$U$42*1.15</f>
        <v>2864.65</v>
      </c>
      <c r="V39" s="496">
        <f t="shared" si="1"/>
        <v>3295</v>
      </c>
      <c r="W39" s="496">
        <f>ROUNDUP(U39*1.3,0)</f>
        <v>3725</v>
      </c>
    </row>
    <row r="40" spans="1:24" ht="36" customHeight="1">
      <c r="A40" s="1112"/>
      <c r="B40" s="1241"/>
      <c r="C40" s="1134"/>
      <c r="D40" s="469"/>
      <c r="E40" s="1157"/>
      <c r="F40" s="1158"/>
      <c r="G40" s="1158"/>
      <c r="H40" s="1158"/>
      <c r="I40" s="1158"/>
      <c r="J40" s="1158"/>
      <c r="K40" s="1159"/>
      <c r="L40" s="470"/>
      <c r="M40" s="1102" t="str">
        <f t="shared" si="4"/>
        <v>19,12-44,62</v>
      </c>
      <c r="N40" s="1103"/>
      <c r="O40" s="1103"/>
      <c r="P40" s="1104"/>
      <c r="Q40" s="490">
        <v>43</v>
      </c>
      <c r="R40" s="1112"/>
      <c r="S40" s="490" t="s">
        <v>236</v>
      </c>
      <c r="T40" s="332">
        <f t="shared" si="0"/>
        <v>127.49</v>
      </c>
      <c r="U40" s="505">
        <f>'[2]Прайс опт кратко'!$U$40*1.15</f>
        <v>5482.05</v>
      </c>
      <c r="V40" s="496">
        <f t="shared" si="1"/>
        <v>6305</v>
      </c>
      <c r="W40" s="496">
        <f>ROUNDUP(U40*1.3,0)</f>
        <v>7127</v>
      </c>
    </row>
    <row r="41" spans="1:24" ht="18.75" customHeight="1">
      <c r="A41" s="1144">
        <v>10</v>
      </c>
      <c r="B41" s="1238" t="s">
        <v>394</v>
      </c>
      <c r="C41" s="1113" t="s">
        <v>6</v>
      </c>
      <c r="D41" s="471"/>
      <c r="E41" s="1160" t="s">
        <v>237</v>
      </c>
      <c r="F41" s="1161"/>
      <c r="G41" s="1161"/>
      <c r="H41" s="1161"/>
      <c r="I41" s="1161"/>
      <c r="J41" s="1161"/>
      <c r="K41" s="1162"/>
      <c r="L41" s="472"/>
      <c r="M41" s="1088" t="str">
        <f>CONCATENATE(ROUND(T41*2.5,2),"-",ROUND(T41*4.5,2))</f>
        <v>364,98-656,96</v>
      </c>
      <c r="N41" s="1101"/>
      <c r="O41" s="1101"/>
      <c r="P41" s="1091"/>
      <c r="Q41" s="475">
        <v>9.5</v>
      </c>
      <c r="R41" s="521" t="s">
        <v>411</v>
      </c>
      <c r="S41" s="475" t="s">
        <v>233</v>
      </c>
      <c r="T41" s="336">
        <f t="shared" si="0"/>
        <v>145.99</v>
      </c>
      <c r="U41" s="505">
        <f>'[2]Прайс опт кратко'!$U$41*1.15</f>
        <v>1386.9</v>
      </c>
      <c r="V41" s="337">
        <f t="shared" si="1"/>
        <v>1595</v>
      </c>
      <c r="W41" s="337">
        <f t="shared" ref="W41:W70" si="5">ROUNDUP(U41*1.3,0)</f>
        <v>1803</v>
      </c>
    </row>
    <row r="42" spans="1:24" ht="19.5" customHeight="1">
      <c r="A42" s="1144"/>
      <c r="B42" s="1238"/>
      <c r="C42" s="1114"/>
      <c r="D42" s="484"/>
      <c r="E42" s="1163"/>
      <c r="F42" s="1164"/>
      <c r="G42" s="1164"/>
      <c r="H42" s="1164"/>
      <c r="I42" s="1164"/>
      <c r="J42" s="1164"/>
      <c r="K42" s="1165"/>
      <c r="L42" s="485"/>
      <c r="M42" s="1088" t="str">
        <f>CONCATENATE(ROUND(T42*2.5,2),"-",ROUND(T42*4.5,2))</f>
        <v>341,03-613,85</v>
      </c>
      <c r="N42" s="1101"/>
      <c r="O42" s="1101"/>
      <c r="P42" s="1091"/>
      <c r="Q42" s="475">
        <v>21</v>
      </c>
      <c r="R42" s="1105" t="s">
        <v>410</v>
      </c>
      <c r="S42" s="475" t="s">
        <v>161</v>
      </c>
      <c r="T42" s="336">
        <f t="shared" si="0"/>
        <v>136.41</v>
      </c>
      <c r="U42" s="505">
        <f>'[2]Прайс опт кратко'!$U$42*1.15</f>
        <v>2864.65</v>
      </c>
      <c r="V42" s="337">
        <f t="shared" si="1"/>
        <v>3295</v>
      </c>
      <c r="W42" s="337">
        <f t="shared" si="5"/>
        <v>3725</v>
      </c>
    </row>
    <row r="43" spans="1:24" ht="31.5" customHeight="1">
      <c r="A43" s="1144"/>
      <c r="B43" s="1238"/>
      <c r="C43" s="1115"/>
      <c r="D43" s="473"/>
      <c r="E43" s="1166"/>
      <c r="F43" s="1167"/>
      <c r="G43" s="1167"/>
      <c r="H43" s="1167"/>
      <c r="I43" s="1167"/>
      <c r="J43" s="1167"/>
      <c r="K43" s="1168"/>
      <c r="L43" s="474"/>
      <c r="M43" s="1088" t="str">
        <f>CONCATENATE(ROUND(T43*2.5,2),"-",ROUND(T43*4.5,2))</f>
        <v>318,73-573,71</v>
      </c>
      <c r="N43" s="1101"/>
      <c r="O43" s="1101"/>
      <c r="P43" s="1091"/>
      <c r="Q43" s="475">
        <v>43</v>
      </c>
      <c r="R43" s="1107"/>
      <c r="S43" s="475" t="s">
        <v>236</v>
      </c>
      <c r="T43" s="336">
        <f t="shared" si="0"/>
        <v>127.49</v>
      </c>
      <c r="U43" s="505">
        <f>'[2]Прайс опт кратко'!$U$43*1.15</f>
        <v>5482.05</v>
      </c>
      <c r="V43" s="337">
        <f t="shared" si="1"/>
        <v>6305</v>
      </c>
      <c r="W43" s="337">
        <f t="shared" si="5"/>
        <v>7127</v>
      </c>
    </row>
    <row r="44" spans="1:24" ht="81" customHeight="1">
      <c r="A44" s="490">
        <v>11</v>
      </c>
      <c r="B44" s="507" t="s">
        <v>395</v>
      </c>
      <c r="C44" s="486" t="s">
        <v>379</v>
      </c>
      <c r="D44" s="343"/>
      <c r="E44" s="1102" t="s">
        <v>239</v>
      </c>
      <c r="F44" s="1103"/>
      <c r="G44" s="1103"/>
      <c r="H44" s="1103"/>
      <c r="I44" s="1103"/>
      <c r="J44" s="1103"/>
      <c r="K44" s="1104"/>
      <c r="L44" s="483"/>
      <c r="M44" s="1102">
        <f>T44*1.7</f>
        <v>584.54499999999996</v>
      </c>
      <c r="N44" s="1103"/>
      <c r="O44" s="1103"/>
      <c r="P44" s="1104"/>
      <c r="Q44" s="490">
        <v>40</v>
      </c>
      <c r="R44" s="520" t="s">
        <v>410</v>
      </c>
      <c r="S44" s="490" t="s">
        <v>240</v>
      </c>
      <c r="T44" s="332">
        <f t="shared" si="0"/>
        <v>343.85</v>
      </c>
      <c r="U44" s="505">
        <f>'[2]Прайс опт кратко'!$U$44*1.15</f>
        <v>13754</v>
      </c>
      <c r="V44" s="496">
        <f t="shared" si="1"/>
        <v>15818</v>
      </c>
      <c r="W44" s="496">
        <f t="shared" si="5"/>
        <v>17881</v>
      </c>
      <c r="X44" s="11"/>
    </row>
    <row r="45" spans="1:24" ht="51.75" customHeight="1">
      <c r="A45" s="475">
        <v>12</v>
      </c>
      <c r="B45" s="522" t="s">
        <v>409</v>
      </c>
      <c r="C45" s="476"/>
      <c r="D45" s="344"/>
      <c r="E45" s="1088" t="s">
        <v>242</v>
      </c>
      <c r="F45" s="1101"/>
      <c r="G45" s="1101"/>
      <c r="H45" s="1101"/>
      <c r="I45" s="1101"/>
      <c r="J45" s="1101"/>
      <c r="K45" s="1091"/>
      <c r="L45" s="481"/>
      <c r="M45" s="1088" t="s">
        <v>336</v>
      </c>
      <c r="N45" s="1101"/>
      <c r="O45" s="1101"/>
      <c r="P45" s="1091"/>
      <c r="Q45" s="475">
        <v>6.6</v>
      </c>
      <c r="R45" s="477" t="s">
        <v>344</v>
      </c>
      <c r="S45" s="475" t="s">
        <v>243</v>
      </c>
      <c r="T45" s="336">
        <f t="shared" si="0"/>
        <v>69</v>
      </c>
      <c r="U45" s="505">
        <f>'[2]Прайс опт кратко'!$U$45*1.15</f>
        <v>455.4</v>
      </c>
      <c r="V45" s="337">
        <f>ROUNDUP(U45*1.15,0)</f>
        <v>524</v>
      </c>
      <c r="W45" s="337">
        <f t="shared" si="5"/>
        <v>593</v>
      </c>
    </row>
    <row r="46" spans="1:24" ht="105" customHeight="1">
      <c r="A46" s="516"/>
      <c r="B46" s="517" t="s">
        <v>55</v>
      </c>
      <c r="C46" s="517" t="s">
        <v>335</v>
      </c>
      <c r="D46" s="517"/>
      <c r="E46" s="1242" t="s">
        <v>218</v>
      </c>
      <c r="F46" s="1243"/>
      <c r="G46" s="1243"/>
      <c r="H46" s="1243"/>
      <c r="I46" s="1243"/>
      <c r="J46" s="1243"/>
      <c r="K46" s="1244"/>
      <c r="L46" s="518"/>
      <c r="M46" s="1242" t="s">
        <v>337</v>
      </c>
      <c r="N46" s="1243"/>
      <c r="O46" s="1243"/>
      <c r="P46" s="1244"/>
      <c r="Q46" s="519"/>
      <c r="R46" s="517" t="s">
        <v>323</v>
      </c>
      <c r="S46" s="517" t="s">
        <v>288</v>
      </c>
      <c r="T46" s="517" t="s">
        <v>256</v>
      </c>
      <c r="U46" s="517" t="s">
        <v>354</v>
      </c>
      <c r="V46" s="357"/>
      <c r="W46" s="357"/>
    </row>
    <row r="47" spans="1:24" ht="23.25">
      <c r="A47" s="1245" t="s">
        <v>244</v>
      </c>
      <c r="B47" s="1245"/>
      <c r="C47" s="1245"/>
      <c r="D47" s="1245"/>
      <c r="E47" s="1245"/>
      <c r="F47" s="1245"/>
      <c r="G47" s="1245"/>
      <c r="H47" s="1245"/>
      <c r="I47" s="1245"/>
      <c r="J47" s="1245"/>
      <c r="K47" s="1245"/>
      <c r="L47" s="1245"/>
      <c r="M47" s="1245"/>
      <c r="N47" s="1245"/>
      <c r="O47" s="1245"/>
      <c r="P47" s="1245"/>
      <c r="Q47" s="1245"/>
      <c r="R47" s="1245"/>
      <c r="S47" s="1245"/>
      <c r="T47" s="1245"/>
      <c r="U47" s="1245"/>
      <c r="V47" s="1245"/>
      <c r="W47" s="1245"/>
    </row>
    <row r="48" spans="1:24" ht="27.75" customHeight="1">
      <c r="A48" s="1140">
        <v>13</v>
      </c>
      <c r="B48" s="1246" t="s">
        <v>423</v>
      </c>
      <c r="C48" s="1132" t="s">
        <v>33</v>
      </c>
      <c r="D48" s="488">
        <v>120</v>
      </c>
      <c r="E48" s="1151">
        <v>120</v>
      </c>
      <c r="F48" s="1152"/>
      <c r="G48" s="1152"/>
      <c r="H48" s="1152"/>
      <c r="I48" s="1152"/>
      <c r="J48" s="1152"/>
      <c r="K48" s="1153"/>
      <c r="L48" s="482"/>
      <c r="M48" s="1211">
        <f>T48/(1000/D48)</f>
        <v>11.62</v>
      </c>
      <c r="N48" s="1212"/>
      <c r="O48" s="1212"/>
      <c r="P48" s="1213"/>
      <c r="Q48" s="490">
        <v>43</v>
      </c>
      <c r="R48" s="1111" t="s">
        <v>410</v>
      </c>
      <c r="S48" s="490" t="s">
        <v>236</v>
      </c>
      <c r="T48" s="332">
        <f>U48/Q48</f>
        <v>96.87</v>
      </c>
      <c r="U48" s="505">
        <f>'[2]Прайс опт кратко'!$U$48*1.15</f>
        <v>4165.3</v>
      </c>
      <c r="V48" s="496">
        <f t="shared" si="1"/>
        <v>4791</v>
      </c>
      <c r="W48" s="496">
        <f t="shared" si="5"/>
        <v>5415</v>
      </c>
    </row>
    <row r="49" spans="1:23" ht="20.25" customHeight="1">
      <c r="A49" s="1140"/>
      <c r="B49" s="1237"/>
      <c r="C49" s="1133"/>
      <c r="D49" s="492">
        <v>120</v>
      </c>
      <c r="E49" s="1154"/>
      <c r="F49" s="1155"/>
      <c r="G49" s="1155"/>
      <c r="H49" s="1155"/>
      <c r="I49" s="1155"/>
      <c r="J49" s="1155"/>
      <c r="K49" s="1156"/>
      <c r="L49" s="482"/>
      <c r="M49" s="1211">
        <f>T49/(1000/D49)</f>
        <v>12.44</v>
      </c>
      <c r="N49" s="1212"/>
      <c r="O49" s="1212"/>
      <c r="P49" s="1213"/>
      <c r="Q49" s="490">
        <v>21</v>
      </c>
      <c r="R49" s="1112"/>
      <c r="S49" s="334" t="s">
        <v>161</v>
      </c>
      <c r="T49" s="332">
        <f>U49/Q49</f>
        <v>103.66</v>
      </c>
      <c r="U49" s="506">
        <f>'[2]Прайс опт кратко'!$U$49*1.15</f>
        <v>2176.9499999999998</v>
      </c>
      <c r="V49" s="496">
        <f t="shared" si="1"/>
        <v>2504</v>
      </c>
      <c r="W49" s="496">
        <f t="shared" si="5"/>
        <v>2831</v>
      </c>
    </row>
    <row r="50" spans="1:23" ht="21.75" customHeight="1">
      <c r="A50" s="1140"/>
      <c r="B50" s="1237"/>
      <c r="C50" s="1133"/>
      <c r="D50" s="492"/>
      <c r="E50" s="1154"/>
      <c r="F50" s="1155"/>
      <c r="G50" s="1155"/>
      <c r="H50" s="1155"/>
      <c r="I50" s="1155"/>
      <c r="J50" s="1155"/>
      <c r="K50" s="1156"/>
      <c r="L50" s="467"/>
      <c r="M50" s="1151" t="s">
        <v>15</v>
      </c>
      <c r="N50" s="1152"/>
      <c r="O50" s="1152"/>
      <c r="P50" s="1153"/>
      <c r="Q50" s="490">
        <v>2.7</v>
      </c>
      <c r="R50" s="1111" t="s">
        <v>412</v>
      </c>
      <c r="S50" s="345" t="s">
        <v>139</v>
      </c>
      <c r="T50" s="332">
        <f>U50/Q50</f>
        <v>118.83</v>
      </c>
      <c r="U50" s="506">
        <f>'[2]Прайс опт кратко'!$U$50*1.15</f>
        <v>320.85000000000002</v>
      </c>
      <c r="V50" s="496">
        <f t="shared" si="1"/>
        <v>369</v>
      </c>
      <c r="W50" s="496">
        <f t="shared" si="5"/>
        <v>418</v>
      </c>
    </row>
    <row r="51" spans="1:23" ht="28.5" customHeight="1">
      <c r="A51" s="1140"/>
      <c r="B51" s="1237"/>
      <c r="C51" s="1134"/>
      <c r="D51" s="489"/>
      <c r="E51" s="1157"/>
      <c r="F51" s="1158"/>
      <c r="G51" s="1158"/>
      <c r="H51" s="1158"/>
      <c r="I51" s="1158"/>
      <c r="J51" s="1158"/>
      <c r="K51" s="1159"/>
      <c r="L51" s="469"/>
      <c r="M51" s="1157"/>
      <c r="N51" s="1158"/>
      <c r="O51" s="1158"/>
      <c r="P51" s="1159"/>
      <c r="Q51" s="490">
        <v>0.95</v>
      </c>
      <c r="R51" s="1112"/>
      <c r="S51" s="345" t="s">
        <v>140</v>
      </c>
      <c r="T51" s="332">
        <f>U51/Q51</f>
        <v>127.11</v>
      </c>
      <c r="U51" s="506">
        <f>'[2]Прайс опт кратко'!$U$51*1.15</f>
        <v>120.75</v>
      </c>
      <c r="V51" s="496">
        <f t="shared" si="1"/>
        <v>139</v>
      </c>
      <c r="W51" s="496">
        <f t="shared" si="5"/>
        <v>157</v>
      </c>
    </row>
    <row r="52" spans="1:23" ht="24.75" customHeight="1">
      <c r="A52" s="1144">
        <v>14</v>
      </c>
      <c r="B52" s="1247" t="s">
        <v>424</v>
      </c>
      <c r="C52" s="1113" t="s">
        <v>33</v>
      </c>
      <c r="D52" s="464">
        <v>120</v>
      </c>
      <c r="E52" s="1160">
        <v>120</v>
      </c>
      <c r="F52" s="1161"/>
      <c r="G52" s="1161"/>
      <c r="H52" s="1161"/>
      <c r="I52" s="1161"/>
      <c r="J52" s="1161"/>
      <c r="K52" s="1162"/>
      <c r="L52" s="480"/>
      <c r="M52" s="1096">
        <f>T52/(1000/D52)</f>
        <v>10.11</v>
      </c>
      <c r="N52" s="1210"/>
      <c r="O52" s="1210"/>
      <c r="P52" s="1097"/>
      <c r="Q52" s="475">
        <v>43</v>
      </c>
      <c r="R52" s="1105" t="s">
        <v>410</v>
      </c>
      <c r="S52" s="475" t="s">
        <v>236</v>
      </c>
      <c r="T52" s="336">
        <v>84.23</v>
      </c>
      <c r="U52" s="505">
        <f>'[2]Прайс опт кратко'!$U$52*1.15</f>
        <v>4165.3</v>
      </c>
      <c r="V52" s="496">
        <v>4166</v>
      </c>
      <c r="W52" s="496">
        <v>4709</v>
      </c>
    </row>
    <row r="53" spans="1:23" ht="24.75">
      <c r="A53" s="1144"/>
      <c r="B53" s="1248"/>
      <c r="C53" s="1114"/>
      <c r="D53" s="465">
        <v>120</v>
      </c>
      <c r="E53" s="1163"/>
      <c r="F53" s="1164"/>
      <c r="G53" s="1164"/>
      <c r="H53" s="1164"/>
      <c r="I53" s="1164"/>
      <c r="J53" s="1164"/>
      <c r="K53" s="1165"/>
      <c r="L53" s="480"/>
      <c r="M53" s="1096">
        <f>T53/(1000/D53)</f>
        <v>10.82</v>
      </c>
      <c r="N53" s="1210"/>
      <c r="O53" s="1210"/>
      <c r="P53" s="1097"/>
      <c r="Q53" s="475">
        <v>21</v>
      </c>
      <c r="R53" s="1107"/>
      <c r="S53" s="338" t="s">
        <v>161</v>
      </c>
      <c r="T53" s="336">
        <v>90.14</v>
      </c>
      <c r="U53" s="506">
        <f>'[2]Прайс опт кратко'!$U$53*1.15</f>
        <v>2176.9499999999998</v>
      </c>
      <c r="V53" s="496">
        <v>2177</v>
      </c>
      <c r="W53" s="496">
        <v>2461</v>
      </c>
    </row>
    <row r="54" spans="1:23" ht="24.75">
      <c r="A54" s="1144"/>
      <c r="B54" s="1248"/>
      <c r="C54" s="1114"/>
      <c r="D54" s="465"/>
      <c r="E54" s="1163"/>
      <c r="F54" s="1164"/>
      <c r="G54" s="1164"/>
      <c r="H54" s="1164"/>
      <c r="I54" s="1164"/>
      <c r="J54" s="1164"/>
      <c r="K54" s="1165"/>
      <c r="L54" s="471"/>
      <c r="M54" s="1160" t="s">
        <v>15</v>
      </c>
      <c r="N54" s="1161"/>
      <c r="O54" s="1161"/>
      <c r="P54" s="1162"/>
      <c r="Q54" s="475">
        <v>2.7</v>
      </c>
      <c r="R54" s="1105" t="s">
        <v>412</v>
      </c>
      <c r="S54" s="346" t="s">
        <v>139</v>
      </c>
      <c r="T54" s="336">
        <v>103.33</v>
      </c>
      <c r="U54" s="506">
        <f>'[2]Прайс опт кратко'!$U$54*1.15</f>
        <v>320.85000000000002</v>
      </c>
      <c r="V54" s="496">
        <v>321</v>
      </c>
      <c r="W54" s="496">
        <v>363</v>
      </c>
    </row>
    <row r="55" spans="1:23" ht="22.5" customHeight="1">
      <c r="A55" s="1144"/>
      <c r="B55" s="1249"/>
      <c r="C55" s="1115"/>
      <c r="D55" s="466"/>
      <c r="E55" s="1166"/>
      <c r="F55" s="1167"/>
      <c r="G55" s="1167"/>
      <c r="H55" s="1167"/>
      <c r="I55" s="1167"/>
      <c r="J55" s="1167"/>
      <c r="K55" s="1168"/>
      <c r="L55" s="473"/>
      <c r="M55" s="1166"/>
      <c r="N55" s="1167"/>
      <c r="O55" s="1167"/>
      <c r="P55" s="1168"/>
      <c r="Q55" s="475">
        <v>0.95</v>
      </c>
      <c r="R55" s="1107"/>
      <c r="S55" s="346" t="s">
        <v>140</v>
      </c>
      <c r="T55" s="336">
        <v>110.53</v>
      </c>
      <c r="U55" s="506">
        <f>'[2]Прайс опт кратко'!$U$55*1.15</f>
        <v>120.75</v>
      </c>
      <c r="V55" s="496">
        <v>121</v>
      </c>
      <c r="W55" s="496">
        <v>137</v>
      </c>
    </row>
    <row r="56" spans="1:23" ht="24.75" customHeight="1">
      <c r="A56" s="1175">
        <v>15</v>
      </c>
      <c r="B56" s="1250" t="s">
        <v>425</v>
      </c>
      <c r="C56" s="1177" t="s">
        <v>39</v>
      </c>
      <c r="D56" s="498">
        <v>80</v>
      </c>
      <c r="E56" s="1092">
        <v>80</v>
      </c>
      <c r="F56" s="1207"/>
      <c r="G56" s="1207"/>
      <c r="H56" s="1207"/>
      <c r="I56" s="1207"/>
      <c r="J56" s="1207"/>
      <c r="K56" s="1093"/>
      <c r="L56" s="501"/>
      <c r="M56" s="1082">
        <f>T56/(1000/D56)</f>
        <v>13.44</v>
      </c>
      <c r="N56" s="1209"/>
      <c r="O56" s="1209"/>
      <c r="P56" s="1083"/>
      <c r="Q56" s="497">
        <v>40</v>
      </c>
      <c r="R56" s="1127" t="s">
        <v>410</v>
      </c>
      <c r="S56" s="497" t="s">
        <v>240</v>
      </c>
      <c r="T56" s="347">
        <f t="shared" ref="T56:T63" si="6">U56/Q56</f>
        <v>167.96</v>
      </c>
      <c r="U56" s="505">
        <f>'[2]Прайс опт кратко'!$U$56*1.15</f>
        <v>6718.3</v>
      </c>
      <c r="V56" s="337">
        <f t="shared" si="1"/>
        <v>7727</v>
      </c>
      <c r="W56" s="337">
        <f t="shared" si="5"/>
        <v>8734</v>
      </c>
    </row>
    <row r="57" spans="1:23" ht="27.75" customHeight="1">
      <c r="A57" s="1175"/>
      <c r="B57" s="1250"/>
      <c r="C57" s="1178"/>
      <c r="D57" s="499">
        <v>80</v>
      </c>
      <c r="E57" s="1223"/>
      <c r="F57" s="1224"/>
      <c r="G57" s="1224"/>
      <c r="H57" s="1224"/>
      <c r="I57" s="1224"/>
      <c r="J57" s="1224"/>
      <c r="K57" s="1225"/>
      <c r="L57" s="501"/>
      <c r="M57" s="1082">
        <f>T57/(1000/D57)</f>
        <v>14.38</v>
      </c>
      <c r="N57" s="1209"/>
      <c r="O57" s="1209"/>
      <c r="P57" s="1083"/>
      <c r="Q57" s="497">
        <v>20</v>
      </c>
      <c r="R57" s="1129"/>
      <c r="S57" s="400" t="s">
        <v>162</v>
      </c>
      <c r="T57" s="347">
        <f t="shared" si="6"/>
        <v>179.75</v>
      </c>
      <c r="U57" s="506">
        <f>'[2]Прайс опт кратко'!$U$57*1.15</f>
        <v>3594.9</v>
      </c>
      <c r="V57" s="337">
        <f t="shared" si="1"/>
        <v>4135</v>
      </c>
      <c r="W57" s="337">
        <f t="shared" si="5"/>
        <v>4674</v>
      </c>
    </row>
    <row r="58" spans="1:23" ht="25.5" customHeight="1">
      <c r="A58" s="1175"/>
      <c r="B58" s="1250"/>
      <c r="C58" s="1178"/>
      <c r="D58" s="499"/>
      <c r="E58" s="1223"/>
      <c r="F58" s="1224"/>
      <c r="G58" s="1224"/>
      <c r="H58" s="1224"/>
      <c r="I58" s="1224"/>
      <c r="J58" s="1224"/>
      <c r="K58" s="1225"/>
      <c r="L58" s="478"/>
      <c r="M58" s="1092" t="s">
        <v>15</v>
      </c>
      <c r="N58" s="1207"/>
      <c r="O58" s="1207"/>
      <c r="P58" s="1093"/>
      <c r="Q58" s="497">
        <v>2.6</v>
      </c>
      <c r="R58" s="1127" t="s">
        <v>412</v>
      </c>
      <c r="S58" s="401" t="s">
        <v>128</v>
      </c>
      <c r="T58" s="347">
        <f t="shared" si="6"/>
        <v>206.12</v>
      </c>
      <c r="U58" s="506">
        <f>'[2]Прайс опт кратко'!$U$58*1.15</f>
        <v>535.9</v>
      </c>
      <c r="V58" s="337">
        <f t="shared" si="1"/>
        <v>617</v>
      </c>
      <c r="W58" s="337">
        <f t="shared" si="5"/>
        <v>697</v>
      </c>
    </row>
    <row r="59" spans="1:23" ht="26.25" customHeight="1">
      <c r="A59" s="1175"/>
      <c r="B59" s="1250"/>
      <c r="C59" s="1179"/>
      <c r="D59" s="500"/>
      <c r="E59" s="1094"/>
      <c r="F59" s="1208"/>
      <c r="G59" s="1208"/>
      <c r="H59" s="1208"/>
      <c r="I59" s="1208"/>
      <c r="J59" s="1208"/>
      <c r="K59" s="1095"/>
      <c r="L59" s="479"/>
      <c r="M59" s="1094"/>
      <c r="N59" s="1208"/>
      <c r="O59" s="1208"/>
      <c r="P59" s="1095"/>
      <c r="Q59" s="497">
        <v>0.9</v>
      </c>
      <c r="R59" s="1129"/>
      <c r="S59" s="400" t="s">
        <v>129</v>
      </c>
      <c r="T59" s="347">
        <f t="shared" si="6"/>
        <v>221.06</v>
      </c>
      <c r="U59" s="506">
        <f>'[2]Прайс опт кратко'!$U$59*1.15</f>
        <v>198.95</v>
      </c>
      <c r="V59" s="337">
        <f t="shared" si="1"/>
        <v>229</v>
      </c>
      <c r="W59" s="337">
        <f t="shared" si="5"/>
        <v>259</v>
      </c>
    </row>
    <row r="60" spans="1:23" ht="27" customHeight="1">
      <c r="A60" s="1144">
        <v>16</v>
      </c>
      <c r="B60" s="1238" t="s">
        <v>426</v>
      </c>
      <c r="C60" s="1113" t="s">
        <v>39</v>
      </c>
      <c r="D60" s="464">
        <v>80</v>
      </c>
      <c r="E60" s="1160">
        <v>80</v>
      </c>
      <c r="F60" s="1161"/>
      <c r="G60" s="1161"/>
      <c r="H60" s="1161"/>
      <c r="I60" s="1161"/>
      <c r="J60" s="1161"/>
      <c r="K60" s="1162"/>
      <c r="L60" s="480"/>
      <c r="M60" s="1096">
        <f>T60/(1000/D60)</f>
        <v>13.44</v>
      </c>
      <c r="N60" s="1210"/>
      <c r="O60" s="1210"/>
      <c r="P60" s="1097"/>
      <c r="Q60" s="475">
        <v>40</v>
      </c>
      <c r="R60" s="1105" t="s">
        <v>410</v>
      </c>
      <c r="S60" s="475" t="s">
        <v>240</v>
      </c>
      <c r="T60" s="336">
        <f t="shared" si="6"/>
        <v>167.96</v>
      </c>
      <c r="U60" s="505">
        <f>'[2]Прайс опт кратко'!$U$60*1.15</f>
        <v>6718.3</v>
      </c>
      <c r="V60" s="496">
        <f t="shared" si="1"/>
        <v>7727</v>
      </c>
      <c r="W60" s="496">
        <f t="shared" si="5"/>
        <v>8734</v>
      </c>
    </row>
    <row r="61" spans="1:23" ht="24.75" customHeight="1">
      <c r="A61" s="1144"/>
      <c r="B61" s="1238"/>
      <c r="C61" s="1114"/>
      <c r="D61" s="465">
        <v>80</v>
      </c>
      <c r="E61" s="1163"/>
      <c r="F61" s="1164"/>
      <c r="G61" s="1164"/>
      <c r="H61" s="1164"/>
      <c r="I61" s="1164"/>
      <c r="J61" s="1164"/>
      <c r="K61" s="1165"/>
      <c r="L61" s="480"/>
      <c r="M61" s="1096">
        <f>T61/(1000/D61)</f>
        <v>14.38</v>
      </c>
      <c r="N61" s="1210"/>
      <c r="O61" s="1210"/>
      <c r="P61" s="1097"/>
      <c r="Q61" s="475">
        <v>20</v>
      </c>
      <c r="R61" s="1107"/>
      <c r="S61" s="338" t="s">
        <v>162</v>
      </c>
      <c r="T61" s="336">
        <f t="shared" si="6"/>
        <v>179.75</v>
      </c>
      <c r="U61" s="506">
        <f>'[2]Прайс опт кратко'!$U$61*1.15</f>
        <v>3594.9</v>
      </c>
      <c r="V61" s="496">
        <f t="shared" si="1"/>
        <v>4135</v>
      </c>
      <c r="W61" s="496">
        <f t="shared" si="5"/>
        <v>4674</v>
      </c>
    </row>
    <row r="62" spans="1:23" ht="28.5" customHeight="1">
      <c r="A62" s="1144"/>
      <c r="B62" s="1238"/>
      <c r="C62" s="1114"/>
      <c r="D62" s="465"/>
      <c r="E62" s="1163"/>
      <c r="F62" s="1164"/>
      <c r="G62" s="1164"/>
      <c r="H62" s="1164"/>
      <c r="I62" s="1164"/>
      <c r="J62" s="1164"/>
      <c r="K62" s="1165"/>
      <c r="L62" s="471"/>
      <c r="M62" s="1160" t="s">
        <v>15</v>
      </c>
      <c r="N62" s="1161"/>
      <c r="O62" s="1161"/>
      <c r="P62" s="1162"/>
      <c r="Q62" s="475">
        <v>2.6</v>
      </c>
      <c r="R62" s="1105" t="s">
        <v>412</v>
      </c>
      <c r="S62" s="346" t="s">
        <v>128</v>
      </c>
      <c r="T62" s="336">
        <f t="shared" si="6"/>
        <v>206.12</v>
      </c>
      <c r="U62" s="506">
        <f>'[2]Прайс опт кратко'!$U$62*1.15</f>
        <v>535.9</v>
      </c>
      <c r="V62" s="496">
        <f t="shared" si="1"/>
        <v>617</v>
      </c>
      <c r="W62" s="496">
        <f t="shared" si="5"/>
        <v>697</v>
      </c>
    </row>
    <row r="63" spans="1:23" ht="26.25" customHeight="1">
      <c r="A63" s="1144"/>
      <c r="B63" s="1238"/>
      <c r="C63" s="1115"/>
      <c r="D63" s="466"/>
      <c r="E63" s="1166"/>
      <c r="F63" s="1167"/>
      <c r="G63" s="1167"/>
      <c r="H63" s="1167"/>
      <c r="I63" s="1167"/>
      <c r="J63" s="1167"/>
      <c r="K63" s="1168"/>
      <c r="L63" s="473"/>
      <c r="M63" s="1166"/>
      <c r="N63" s="1167"/>
      <c r="O63" s="1167"/>
      <c r="P63" s="1168"/>
      <c r="Q63" s="475">
        <v>0.9</v>
      </c>
      <c r="R63" s="1107"/>
      <c r="S63" s="338" t="s">
        <v>129</v>
      </c>
      <c r="T63" s="336">
        <f t="shared" si="6"/>
        <v>221.06</v>
      </c>
      <c r="U63" s="506">
        <f>'[2]Прайс опт кратко'!$U$63*1.15</f>
        <v>198.95</v>
      </c>
      <c r="V63" s="496">
        <f t="shared" si="1"/>
        <v>229</v>
      </c>
      <c r="W63" s="496">
        <f t="shared" si="5"/>
        <v>259</v>
      </c>
    </row>
    <row r="64" spans="1:23" ht="27" customHeight="1">
      <c r="A64" s="1204">
        <v>17</v>
      </c>
      <c r="B64" s="1251" t="s">
        <v>427</v>
      </c>
      <c r="C64" s="403" t="s">
        <v>436</v>
      </c>
      <c r="D64" s="403"/>
      <c r="E64" s="1181" t="s">
        <v>406</v>
      </c>
      <c r="F64" s="1182"/>
      <c r="G64" s="1182"/>
      <c r="H64" s="1182"/>
      <c r="I64" s="1182"/>
      <c r="J64" s="1182"/>
      <c r="K64" s="1183"/>
      <c r="L64" s="405"/>
      <c r="M64" s="1214">
        <f>T64/21/12.5</f>
        <v>1.35</v>
      </c>
      <c r="N64" s="1215"/>
      <c r="O64" s="1215"/>
      <c r="P64" s="1216"/>
      <c r="Q64" s="406">
        <v>43</v>
      </c>
      <c r="R64" s="1204" t="s">
        <v>410</v>
      </c>
      <c r="S64" s="1194" t="s">
        <v>343</v>
      </c>
      <c r="T64" s="1191">
        <v>354.19</v>
      </c>
      <c r="U64" s="1188">
        <f>'[2]Прайс опт кратко'!$U$64:$U$66*1.15</f>
        <v>17514.5</v>
      </c>
      <c r="V64" s="1217">
        <f>U64*1.15</f>
        <v>20141.68</v>
      </c>
      <c r="W64" s="1217">
        <f>U64*1.3</f>
        <v>22768.85</v>
      </c>
    </row>
    <row r="65" spans="1:23" ht="26.25" customHeight="1">
      <c r="A65" s="1205"/>
      <c r="B65" s="1252"/>
      <c r="C65" s="403" t="s">
        <v>437</v>
      </c>
      <c r="D65" s="403"/>
      <c r="E65" s="1181" t="s">
        <v>405</v>
      </c>
      <c r="F65" s="1182"/>
      <c r="G65" s="1182"/>
      <c r="H65" s="1182"/>
      <c r="I65" s="1182"/>
      <c r="J65" s="1182"/>
      <c r="K65" s="1183"/>
      <c r="L65" s="405"/>
      <c r="M65" s="1214">
        <f>T64/16/12.5</f>
        <v>1.77</v>
      </c>
      <c r="N65" s="1215"/>
      <c r="O65" s="1215"/>
      <c r="P65" s="1216"/>
      <c r="Q65" s="406">
        <v>43</v>
      </c>
      <c r="R65" s="1205"/>
      <c r="S65" s="1195"/>
      <c r="T65" s="1192"/>
      <c r="U65" s="1189"/>
      <c r="V65" s="1218"/>
      <c r="W65" s="1218"/>
    </row>
    <row r="66" spans="1:23" ht="22.5" customHeight="1">
      <c r="A66" s="1205"/>
      <c r="B66" s="1252"/>
      <c r="C66" s="403" t="s">
        <v>438</v>
      </c>
      <c r="D66" s="403"/>
      <c r="E66" s="1181" t="s">
        <v>407</v>
      </c>
      <c r="F66" s="1182"/>
      <c r="G66" s="1182"/>
      <c r="H66" s="1182"/>
      <c r="I66" s="1182"/>
      <c r="J66" s="1182"/>
      <c r="K66" s="1183"/>
      <c r="L66" s="405"/>
      <c r="M66" s="1214">
        <f>T64/11/12.5</f>
        <v>2.58</v>
      </c>
      <c r="N66" s="1215"/>
      <c r="O66" s="1215"/>
      <c r="P66" s="1216"/>
      <c r="Q66" s="406">
        <v>43</v>
      </c>
      <c r="R66" s="1206"/>
      <c r="S66" s="1196"/>
      <c r="T66" s="1193"/>
      <c r="U66" s="1190"/>
      <c r="V66" s="1219"/>
      <c r="W66" s="1219"/>
    </row>
    <row r="67" spans="1:23" ht="29.25" customHeight="1">
      <c r="A67" s="1205"/>
      <c r="B67" s="1252"/>
      <c r="C67" s="403" t="s">
        <v>439</v>
      </c>
      <c r="D67" s="403"/>
      <c r="E67" s="1181" t="s">
        <v>406</v>
      </c>
      <c r="F67" s="1182"/>
      <c r="G67" s="1182"/>
      <c r="H67" s="1182"/>
      <c r="I67" s="1182"/>
      <c r="J67" s="1182"/>
      <c r="K67" s="1183"/>
      <c r="L67" s="405"/>
      <c r="M67" s="1214">
        <f>T67/21/12.5</f>
        <v>1.42</v>
      </c>
      <c r="N67" s="1215"/>
      <c r="O67" s="1215"/>
      <c r="P67" s="1216"/>
      <c r="Q67" s="406">
        <v>21</v>
      </c>
      <c r="R67" s="1204" t="s">
        <v>410</v>
      </c>
      <c r="S67" s="1194" t="s">
        <v>403</v>
      </c>
      <c r="T67" s="1191">
        <v>371.9</v>
      </c>
      <c r="U67" s="1188">
        <f>'[2]Прайс опт кратко'!$U$67:$U$69*1.15</f>
        <v>8981.5</v>
      </c>
      <c r="V67" s="1217">
        <f>U67*1.15</f>
        <v>10328.73</v>
      </c>
      <c r="W67" s="1217">
        <f>U67*1.3</f>
        <v>11675.95</v>
      </c>
    </row>
    <row r="68" spans="1:23" ht="25.5" customHeight="1">
      <c r="A68" s="1205"/>
      <c r="B68" s="1252"/>
      <c r="C68" s="403" t="s">
        <v>440</v>
      </c>
      <c r="D68" s="403"/>
      <c r="E68" s="1181" t="s">
        <v>405</v>
      </c>
      <c r="F68" s="1182"/>
      <c r="G68" s="1182"/>
      <c r="H68" s="1182"/>
      <c r="I68" s="1182"/>
      <c r="J68" s="1182"/>
      <c r="K68" s="1183"/>
      <c r="L68" s="405"/>
      <c r="M68" s="1214">
        <f>T67/16/12.5</f>
        <v>1.86</v>
      </c>
      <c r="N68" s="1215"/>
      <c r="O68" s="1215"/>
      <c r="P68" s="1216"/>
      <c r="Q68" s="406">
        <v>21</v>
      </c>
      <c r="R68" s="1205"/>
      <c r="S68" s="1195"/>
      <c r="T68" s="1192"/>
      <c r="U68" s="1189"/>
      <c r="V68" s="1218"/>
      <c r="W68" s="1218"/>
    </row>
    <row r="69" spans="1:23" ht="26.25" customHeight="1">
      <c r="A69" s="1206"/>
      <c r="B69" s="1253"/>
      <c r="C69" s="403" t="s">
        <v>441</v>
      </c>
      <c r="D69" s="403"/>
      <c r="E69" s="1181" t="s">
        <v>407</v>
      </c>
      <c r="F69" s="1182"/>
      <c r="G69" s="1182"/>
      <c r="H69" s="1182"/>
      <c r="I69" s="1182"/>
      <c r="J69" s="1182"/>
      <c r="K69" s="1183"/>
      <c r="L69" s="405"/>
      <c r="M69" s="1214">
        <f>T67/11/12.5</f>
        <v>2.7</v>
      </c>
      <c r="N69" s="1215"/>
      <c r="O69" s="1215"/>
      <c r="P69" s="1216"/>
      <c r="Q69" s="406">
        <v>21</v>
      </c>
      <c r="R69" s="1206"/>
      <c r="S69" s="1196"/>
      <c r="T69" s="1193"/>
      <c r="U69" s="1190"/>
      <c r="V69" s="1219"/>
      <c r="W69" s="1219"/>
    </row>
    <row r="70" spans="1:23" ht="95.25" customHeight="1">
      <c r="A70" s="407">
        <v>18</v>
      </c>
      <c r="B70" s="510" t="s">
        <v>396</v>
      </c>
      <c r="C70" s="477" t="s">
        <v>15</v>
      </c>
      <c r="D70" s="477"/>
      <c r="E70" s="1088" t="s">
        <v>283</v>
      </c>
      <c r="F70" s="1101"/>
      <c r="G70" s="1101"/>
      <c r="H70" s="1101"/>
      <c r="I70" s="1101"/>
      <c r="J70" s="1101"/>
      <c r="K70" s="1091"/>
      <c r="L70" s="480"/>
      <c r="M70" s="1088" t="s">
        <v>338</v>
      </c>
      <c r="N70" s="1101"/>
      <c r="O70" s="1101"/>
      <c r="P70" s="1091"/>
      <c r="Q70" s="475">
        <v>90</v>
      </c>
      <c r="R70" s="521" t="s">
        <v>410</v>
      </c>
      <c r="S70" s="477" t="s">
        <v>280</v>
      </c>
      <c r="T70" s="336">
        <f>U70/Q70</f>
        <v>120.75</v>
      </c>
      <c r="U70" s="505">
        <f>'[2]Прайс опт кратко'!$U$70*1.15</f>
        <v>10867.5</v>
      </c>
      <c r="V70" s="348">
        <f t="shared" si="1"/>
        <v>12498</v>
      </c>
      <c r="W70" s="348">
        <f t="shared" si="5"/>
        <v>14128</v>
      </c>
    </row>
    <row r="71" spans="1:23" ht="23.25">
      <c r="A71" s="1245" t="s">
        <v>247</v>
      </c>
      <c r="B71" s="1245"/>
      <c r="C71" s="1245"/>
      <c r="D71" s="1245"/>
      <c r="E71" s="1245"/>
      <c r="F71" s="1245"/>
      <c r="G71" s="1245"/>
      <c r="H71" s="1245"/>
      <c r="I71" s="1245"/>
      <c r="J71" s="1245"/>
      <c r="K71" s="1245"/>
      <c r="L71" s="1245"/>
      <c r="M71" s="1245"/>
      <c r="N71" s="1245"/>
      <c r="O71" s="1245"/>
      <c r="P71" s="1245"/>
      <c r="Q71" s="1245"/>
      <c r="R71" s="1245"/>
      <c r="S71" s="1245"/>
      <c r="T71" s="1245"/>
      <c r="U71" s="1245"/>
      <c r="V71" s="1245"/>
      <c r="W71" s="1245"/>
    </row>
    <row r="72" spans="1:23" ht="75.75" customHeight="1">
      <c r="A72" s="1140">
        <v>19</v>
      </c>
      <c r="B72" s="1254" t="s">
        <v>400</v>
      </c>
      <c r="C72" s="1132" t="s">
        <v>105</v>
      </c>
      <c r="D72" s="488"/>
      <c r="E72" s="1203" t="s">
        <v>282</v>
      </c>
      <c r="F72" s="1203"/>
      <c r="G72" s="1203"/>
      <c r="H72" s="1203"/>
      <c r="I72" s="1203"/>
      <c r="J72" s="1203"/>
      <c r="K72" s="1203"/>
      <c r="L72" s="503"/>
      <c r="M72" s="1084" t="s">
        <v>339</v>
      </c>
      <c r="N72" s="1085"/>
      <c r="O72" s="1084" t="s">
        <v>340</v>
      </c>
      <c r="P72" s="1085"/>
      <c r="Q72" s="490"/>
      <c r="R72" s="1111" t="s">
        <v>413</v>
      </c>
      <c r="S72" s="1199" t="s">
        <v>138</v>
      </c>
      <c r="T72" s="1184">
        <f>U72/Q73</f>
        <v>129.74</v>
      </c>
      <c r="U72" s="1201">
        <f>'[2]Прайс опт кратко'!$U$72:$U$73*1.15</f>
        <v>1427.15</v>
      </c>
      <c r="V72" s="1202">
        <f>ROUND(U72*1.15,0)</f>
        <v>1641</v>
      </c>
      <c r="W72" s="1202">
        <f>ROUND(U72*1.3,0)</f>
        <v>1855</v>
      </c>
    </row>
    <row r="73" spans="1:23" ht="24.75" customHeight="1">
      <c r="A73" s="1140"/>
      <c r="B73" s="1254"/>
      <c r="C73" s="1133"/>
      <c r="D73" s="492">
        <v>90</v>
      </c>
      <c r="E73" s="1138" t="s">
        <v>281</v>
      </c>
      <c r="F73" s="1138"/>
      <c r="G73" s="1138"/>
      <c r="H73" s="1138"/>
      <c r="I73" s="1138"/>
      <c r="J73" s="1138"/>
      <c r="K73" s="1138"/>
      <c r="L73" s="482">
        <v>220</v>
      </c>
      <c r="M73" s="1086" t="str">
        <f>CONCATENATE(ROUND(T72*0.09,2),"-",ROUND(T72*0.22,2))</f>
        <v>11,68-28,54</v>
      </c>
      <c r="N73" s="1087"/>
      <c r="O73" s="1086" t="str">
        <f>CONCATENATE(ROUND(Q73*1000/L73,2),"-",ROUND(Q73*1000/D73,2))</f>
        <v>50-122,22</v>
      </c>
      <c r="P73" s="1087"/>
      <c r="Q73" s="490">
        <v>11</v>
      </c>
      <c r="R73" s="1150"/>
      <c r="S73" s="1200"/>
      <c r="T73" s="1185"/>
      <c r="U73" s="1201"/>
      <c r="V73" s="1202"/>
      <c r="W73" s="1202"/>
    </row>
    <row r="74" spans="1:23" ht="22.5" customHeight="1">
      <c r="A74" s="1140"/>
      <c r="B74" s="1254"/>
      <c r="C74" s="1133"/>
      <c r="D74" s="492">
        <v>90</v>
      </c>
      <c r="E74" s="1138"/>
      <c r="F74" s="1138"/>
      <c r="G74" s="1138"/>
      <c r="H74" s="1138"/>
      <c r="I74" s="1138"/>
      <c r="J74" s="1138"/>
      <c r="K74" s="1138"/>
      <c r="L74" s="482">
        <v>220</v>
      </c>
      <c r="M74" s="1086" t="str">
        <f>CONCATENATE(ROUND(T74*0.09,2),"-",ROUND(T74*0.22,2))</f>
        <v>12,83-31,36</v>
      </c>
      <c r="N74" s="1090"/>
      <c r="O74" s="1086" t="str">
        <f>CONCATENATE(ROUND(Q74*1000/L74,2),"-",ROUND(Q74*1000/D74,2))</f>
        <v>15-36,67</v>
      </c>
      <c r="P74" s="1087"/>
      <c r="Q74" s="490">
        <v>3.3</v>
      </c>
      <c r="R74" s="1112"/>
      <c r="S74" s="334" t="s">
        <v>137</v>
      </c>
      <c r="T74" s="332">
        <f>U74/Q74</f>
        <v>142.53</v>
      </c>
      <c r="U74" s="506">
        <f>'[2]Прайс опт кратко'!$U$74*1.15</f>
        <v>470.35</v>
      </c>
      <c r="V74" s="496">
        <f t="shared" ref="V74:V83" si="7">ROUNDUP(U74*1.15,0)</f>
        <v>541</v>
      </c>
      <c r="W74" s="496">
        <f t="shared" ref="W74:W84" si="8">ROUNDUP(U74*1.3,0)</f>
        <v>612</v>
      </c>
    </row>
    <row r="75" spans="1:23" ht="27" customHeight="1">
      <c r="A75" s="1140"/>
      <c r="B75" s="1254"/>
      <c r="C75" s="1134"/>
      <c r="D75" s="492">
        <v>90</v>
      </c>
      <c r="E75" s="1138"/>
      <c r="F75" s="1138"/>
      <c r="G75" s="1138"/>
      <c r="H75" s="1138"/>
      <c r="I75" s="1138"/>
      <c r="J75" s="1138"/>
      <c r="K75" s="1138"/>
      <c r="L75" s="482">
        <v>220</v>
      </c>
      <c r="M75" s="1086" t="str">
        <f>CONCATENATE(ROUND(T75*0.09,2),"-",ROUND(T75*0.22,2))</f>
        <v>13,73-33,56</v>
      </c>
      <c r="N75" s="1090"/>
      <c r="O75" s="1086" t="str">
        <f t="shared" ref="O75:O80" si="9">CONCATENATE(ROUND(Q75*1000/L75,2),"-",ROUND(Q75*1000/D75,2))</f>
        <v>4,32-10,56</v>
      </c>
      <c r="P75" s="1087"/>
      <c r="Q75" s="490">
        <v>0.95</v>
      </c>
      <c r="R75" s="520" t="s">
        <v>414</v>
      </c>
      <c r="S75" s="334" t="s">
        <v>136</v>
      </c>
      <c r="T75" s="332">
        <f>U75/Q75</f>
        <v>152.53</v>
      </c>
      <c r="U75" s="506">
        <f>'[2]Прайс опт кратко'!$U$75*1.15</f>
        <v>144.9</v>
      </c>
      <c r="V75" s="496">
        <f t="shared" si="7"/>
        <v>167</v>
      </c>
      <c r="W75" s="496">
        <f t="shared" si="8"/>
        <v>189</v>
      </c>
    </row>
    <row r="76" spans="1:23" ht="70.5" customHeight="1">
      <c r="A76" s="1144">
        <v>20</v>
      </c>
      <c r="B76" s="1238" t="s">
        <v>401</v>
      </c>
      <c r="C76" s="1113" t="s">
        <v>144</v>
      </c>
      <c r="D76" s="464">
        <v>60</v>
      </c>
      <c r="E76" s="1130" t="s">
        <v>145</v>
      </c>
      <c r="F76" s="1130"/>
      <c r="G76" s="1130"/>
      <c r="H76" s="1130"/>
      <c r="I76" s="1130"/>
      <c r="J76" s="1130"/>
      <c r="K76" s="1130"/>
      <c r="L76" s="480">
        <v>90</v>
      </c>
      <c r="M76" s="1088" t="str">
        <f>CONCATENATE(ROUND(T76*0.06,2),"-",ROUND(T76*0.09,2))</f>
        <v>8,77-13,15</v>
      </c>
      <c r="N76" s="1091"/>
      <c r="O76" s="1088" t="str">
        <f t="shared" si="9"/>
        <v>30-45</v>
      </c>
      <c r="P76" s="1089"/>
      <c r="Q76" s="475">
        <v>2.7</v>
      </c>
      <c r="R76" s="521" t="s">
        <v>413</v>
      </c>
      <c r="S76" s="338" t="s">
        <v>142</v>
      </c>
      <c r="T76" s="336">
        <f>U76/Q76</f>
        <v>146.09</v>
      </c>
      <c r="U76" s="506">
        <f>'[2]Прайс опт кратко'!$U$76*1.15</f>
        <v>394.45</v>
      </c>
      <c r="V76" s="337">
        <f t="shared" si="7"/>
        <v>454</v>
      </c>
      <c r="W76" s="337">
        <f t="shared" si="8"/>
        <v>513</v>
      </c>
    </row>
    <row r="77" spans="1:23" ht="60.75" customHeight="1">
      <c r="A77" s="1144"/>
      <c r="B77" s="1238"/>
      <c r="C77" s="1115"/>
      <c r="D77" s="464">
        <v>60</v>
      </c>
      <c r="E77" s="1130"/>
      <c r="F77" s="1130"/>
      <c r="G77" s="1130"/>
      <c r="H77" s="1130"/>
      <c r="I77" s="1130"/>
      <c r="J77" s="1130"/>
      <c r="K77" s="1130"/>
      <c r="L77" s="480">
        <v>90</v>
      </c>
      <c r="M77" s="1088" t="str">
        <f>CONCATENATE(ROUND(T77*0.09,2),"-",ROUND(T77*0.22,2))</f>
        <v>14,49-35,42</v>
      </c>
      <c r="N77" s="1091"/>
      <c r="O77" s="1088" t="str">
        <f t="shared" si="9"/>
        <v>10-15</v>
      </c>
      <c r="P77" s="1089"/>
      <c r="Q77" s="475">
        <v>0.9</v>
      </c>
      <c r="R77" s="521" t="s">
        <v>415</v>
      </c>
      <c r="S77" s="338" t="s">
        <v>141</v>
      </c>
      <c r="T77" s="336">
        <f>U77/Q77</f>
        <v>161</v>
      </c>
      <c r="U77" s="506">
        <f>'[2]Прайс опт кратко'!$U$75*1.15</f>
        <v>144.9</v>
      </c>
      <c r="V77" s="337">
        <f t="shared" si="7"/>
        <v>167</v>
      </c>
      <c r="W77" s="337">
        <f t="shared" si="8"/>
        <v>189</v>
      </c>
    </row>
    <row r="78" spans="1:23" ht="19.5" customHeight="1">
      <c r="A78" s="1140">
        <v>21</v>
      </c>
      <c r="B78" s="1254" t="s">
        <v>402</v>
      </c>
      <c r="C78" s="1132" t="s">
        <v>12</v>
      </c>
      <c r="D78" s="464">
        <v>60</v>
      </c>
      <c r="E78" s="1203" t="s">
        <v>218</v>
      </c>
      <c r="F78" s="1203"/>
      <c r="G78" s="1203"/>
      <c r="H78" s="1203"/>
      <c r="I78" s="1203"/>
      <c r="J78" s="1203"/>
      <c r="K78" s="1203"/>
      <c r="L78" s="503"/>
      <c r="M78" s="1092" t="str">
        <f>CONCATENATE(ROUND(T78*0.06,2),"-",ROUND(T78*0.12,2))</f>
        <v>2,81-5,61</v>
      </c>
      <c r="N78" s="1093"/>
      <c r="O78" s="1092" t="str">
        <f>CONCATENATE(ROUND(Q79*1000/L79,2),"-",ROUND(Q79*1000/D79,2))</f>
        <v>87,5-175</v>
      </c>
      <c r="P78" s="1093"/>
      <c r="Q78" s="490"/>
      <c r="R78" s="1111" t="s">
        <v>411</v>
      </c>
      <c r="S78" s="1199" t="s">
        <v>131</v>
      </c>
      <c r="T78" s="1184">
        <f>U78/Q79</f>
        <v>46.77</v>
      </c>
      <c r="U78" s="1186">
        <f>'[2]Прайс опт кратко'!$U$78:$U$79*1.15</f>
        <v>491.05</v>
      </c>
      <c r="V78" s="1187">
        <f>ROUNDUP(U78*1.15,0)</f>
        <v>565</v>
      </c>
      <c r="W78" s="1187">
        <f>ROUNDUP(U78*1.3,0)</f>
        <v>639</v>
      </c>
    </row>
    <row r="79" spans="1:23" ht="24.75" customHeight="1">
      <c r="A79" s="1140"/>
      <c r="B79" s="1254"/>
      <c r="C79" s="1133"/>
      <c r="D79" s="464">
        <v>60</v>
      </c>
      <c r="E79" s="1138" t="s">
        <v>116</v>
      </c>
      <c r="F79" s="1138"/>
      <c r="G79" s="1138"/>
      <c r="H79" s="1138"/>
      <c r="I79" s="1138"/>
      <c r="J79" s="1138"/>
      <c r="K79" s="1138"/>
      <c r="L79" s="482">
        <v>120</v>
      </c>
      <c r="M79" s="1094"/>
      <c r="N79" s="1095"/>
      <c r="O79" s="1094"/>
      <c r="P79" s="1095"/>
      <c r="Q79" s="490">
        <v>10.5</v>
      </c>
      <c r="R79" s="1150"/>
      <c r="S79" s="1200"/>
      <c r="T79" s="1185"/>
      <c r="U79" s="1186"/>
      <c r="V79" s="1187"/>
      <c r="W79" s="1187"/>
    </row>
    <row r="80" spans="1:23" ht="42.75" customHeight="1">
      <c r="A80" s="1140"/>
      <c r="B80" s="1254"/>
      <c r="C80" s="1134"/>
      <c r="D80" s="464">
        <v>60</v>
      </c>
      <c r="E80" s="1138"/>
      <c r="F80" s="1138"/>
      <c r="G80" s="1138"/>
      <c r="H80" s="1138"/>
      <c r="I80" s="1138"/>
      <c r="J80" s="1138"/>
      <c r="K80" s="1138"/>
      <c r="L80" s="482">
        <v>120</v>
      </c>
      <c r="M80" s="1086" t="str">
        <f>CONCATENATE(ROUND(T80*0.09,2),"-",ROUND(T80*0.12,2))</f>
        <v>4,52-6,02</v>
      </c>
      <c r="N80" s="1090"/>
      <c r="O80" s="1086" t="str">
        <f t="shared" si="9"/>
        <v>27,5-55</v>
      </c>
      <c r="P80" s="1087"/>
      <c r="Q80" s="490">
        <v>3.3</v>
      </c>
      <c r="R80" s="1112"/>
      <c r="S80" s="334" t="s">
        <v>130</v>
      </c>
      <c r="T80" s="332">
        <f>U80/Q80</f>
        <v>50.18</v>
      </c>
      <c r="U80" s="506">
        <f>'[2]Прайс опт кратко'!$U$80*1.15</f>
        <v>165.6</v>
      </c>
      <c r="V80" s="496">
        <f t="shared" si="7"/>
        <v>191</v>
      </c>
      <c r="W80" s="496">
        <f t="shared" si="8"/>
        <v>216</v>
      </c>
    </row>
    <row r="81" spans="1:23" ht="54.75" customHeight="1">
      <c r="A81" s="1144">
        <v>22</v>
      </c>
      <c r="B81" s="1238" t="s">
        <v>428</v>
      </c>
      <c r="C81" s="1113" t="s">
        <v>22</v>
      </c>
      <c r="D81" s="464">
        <v>120</v>
      </c>
      <c r="E81" s="1130">
        <v>120</v>
      </c>
      <c r="F81" s="1130"/>
      <c r="G81" s="1130"/>
      <c r="H81" s="1130"/>
      <c r="I81" s="1130"/>
      <c r="J81" s="1130"/>
      <c r="K81" s="1130"/>
      <c r="L81" s="480">
        <v>120</v>
      </c>
      <c r="M81" s="1088">
        <f>T81/(1000/E81)</f>
        <v>10.901999999999999</v>
      </c>
      <c r="N81" s="1091"/>
      <c r="O81" s="1088" t="str">
        <f>CONCATENATE(ROUND(Q81*1000/L81,2))</f>
        <v>125</v>
      </c>
      <c r="P81" s="1089"/>
      <c r="Q81" s="475">
        <v>15</v>
      </c>
      <c r="R81" s="1105" t="s">
        <v>411</v>
      </c>
      <c r="S81" s="338" t="s">
        <v>133</v>
      </c>
      <c r="T81" s="336">
        <f>U81/Q81</f>
        <v>90.85</v>
      </c>
      <c r="U81" s="506">
        <f>'[2]Прайс опт кратко'!$U$81*1.15</f>
        <v>1362.75</v>
      </c>
      <c r="V81" s="337">
        <f t="shared" si="7"/>
        <v>1568</v>
      </c>
      <c r="W81" s="337">
        <f t="shared" si="8"/>
        <v>1772</v>
      </c>
    </row>
    <row r="82" spans="1:23" ht="52.5" customHeight="1">
      <c r="A82" s="1144"/>
      <c r="B82" s="1238"/>
      <c r="C82" s="1115"/>
      <c r="D82" s="466">
        <v>120</v>
      </c>
      <c r="E82" s="1130"/>
      <c r="F82" s="1130"/>
      <c r="G82" s="1130"/>
      <c r="H82" s="1130"/>
      <c r="I82" s="1130"/>
      <c r="J82" s="1130"/>
      <c r="K82" s="1130"/>
      <c r="L82" s="480">
        <v>120</v>
      </c>
      <c r="M82" s="1096">
        <f>T82/(1000/120)</f>
        <v>11.68</v>
      </c>
      <c r="N82" s="1097"/>
      <c r="O82" s="1088" t="str">
        <f t="shared" ref="O82" si="10">CONCATENATE(ROUND(Q82*1000/L82,2))</f>
        <v>37,5</v>
      </c>
      <c r="P82" s="1089"/>
      <c r="Q82" s="475">
        <v>4.5</v>
      </c>
      <c r="R82" s="1107"/>
      <c r="S82" s="338" t="s">
        <v>132</v>
      </c>
      <c r="T82" s="336">
        <f>U82/Q82</f>
        <v>97.37</v>
      </c>
      <c r="U82" s="506">
        <f>'[2]Прайс опт кратко'!$U$82*1.15</f>
        <v>438.15</v>
      </c>
      <c r="V82" s="337">
        <f t="shared" si="7"/>
        <v>504</v>
      </c>
      <c r="W82" s="337">
        <f t="shared" si="8"/>
        <v>570</v>
      </c>
    </row>
    <row r="83" spans="1:23" ht="43.5" customHeight="1">
      <c r="A83" s="1111">
        <v>23</v>
      </c>
      <c r="B83" s="1254" t="s">
        <v>431</v>
      </c>
      <c r="C83" s="1132" t="s">
        <v>22</v>
      </c>
      <c r="D83" s="488">
        <v>120</v>
      </c>
      <c r="E83" s="1138">
        <v>120</v>
      </c>
      <c r="F83" s="1138"/>
      <c r="G83" s="1138"/>
      <c r="H83" s="1138"/>
      <c r="I83" s="1138"/>
      <c r="J83" s="1138"/>
      <c r="K83" s="1138"/>
      <c r="L83" s="495">
        <v>120</v>
      </c>
      <c r="M83" s="1082">
        <f>T83/(1000/120)</f>
        <v>14.69</v>
      </c>
      <c r="N83" s="1083"/>
      <c r="O83" s="1086" t="str">
        <f>CONCATENATE(ROUND(Q83*1000/L83,2))</f>
        <v>91,67</v>
      </c>
      <c r="P83" s="1087"/>
      <c r="Q83" s="490">
        <v>11</v>
      </c>
      <c r="R83" s="1111" t="s">
        <v>411</v>
      </c>
      <c r="S83" s="334" t="s">
        <v>135</v>
      </c>
      <c r="T83" s="332">
        <f>U83/Q83</f>
        <v>122.42</v>
      </c>
      <c r="U83" s="506">
        <f>'[2]Прайс опт кратко'!$U$83*1.15</f>
        <v>1346.65</v>
      </c>
      <c r="V83" s="496">
        <f t="shared" si="7"/>
        <v>1549</v>
      </c>
      <c r="W83" s="496">
        <f t="shared" si="8"/>
        <v>1751</v>
      </c>
    </row>
    <row r="84" spans="1:23" ht="66" customHeight="1">
      <c r="A84" s="1112"/>
      <c r="B84" s="1254"/>
      <c r="C84" s="1134"/>
      <c r="D84" s="489">
        <v>120</v>
      </c>
      <c r="E84" s="1138"/>
      <c r="F84" s="1138"/>
      <c r="G84" s="1138"/>
      <c r="H84" s="1138"/>
      <c r="I84" s="1138"/>
      <c r="J84" s="1138"/>
      <c r="K84" s="1138"/>
      <c r="L84" s="495">
        <v>120</v>
      </c>
      <c r="M84" s="1082">
        <f>T84/(1000/120)</f>
        <v>15.75</v>
      </c>
      <c r="N84" s="1083"/>
      <c r="O84" s="1086" t="str">
        <f>CONCATENATE(ROUND(Q84*1000/L84,2))</f>
        <v>28,33</v>
      </c>
      <c r="P84" s="1087"/>
      <c r="Q84" s="350">
        <v>3.4</v>
      </c>
      <c r="R84" s="1112"/>
      <c r="S84" s="351" t="s">
        <v>134</v>
      </c>
      <c r="T84" s="352">
        <f>U84/Q84</f>
        <v>131.24</v>
      </c>
      <c r="U84" s="506">
        <f>'[2]Прайс опт кратко'!$U$84*1.15</f>
        <v>446.2</v>
      </c>
      <c r="V84" s="496">
        <f>ROUNDUP(U84*1.15,0)</f>
        <v>514</v>
      </c>
      <c r="W84" s="496">
        <f t="shared" si="8"/>
        <v>581</v>
      </c>
    </row>
  </sheetData>
  <sheetProtection password="D72B" sheet="1" objects="1" scenarios="1"/>
  <mergeCells count="241">
    <mergeCell ref="M84:N84"/>
    <mergeCell ref="O84:P84"/>
    <mergeCell ref="R81:R82"/>
    <mergeCell ref="M82:N82"/>
    <mergeCell ref="O82:P82"/>
    <mergeCell ref="A83:A84"/>
    <mergeCell ref="B83:B84"/>
    <mergeCell ref="C83:C84"/>
    <mergeCell ref="E83:K84"/>
    <mergeCell ref="M83:N83"/>
    <mergeCell ref="O83:P83"/>
    <mergeCell ref="R83:R84"/>
    <mergeCell ref="A81:A82"/>
    <mergeCell ref="B81:B82"/>
    <mergeCell ref="C81:C82"/>
    <mergeCell ref="E81:K82"/>
    <mergeCell ref="M81:N81"/>
    <mergeCell ref="O81:P81"/>
    <mergeCell ref="S78:S79"/>
    <mergeCell ref="T78:T79"/>
    <mergeCell ref="U78:U79"/>
    <mergeCell ref="V78:V79"/>
    <mergeCell ref="W78:W79"/>
    <mergeCell ref="A78:A80"/>
    <mergeCell ref="B78:B80"/>
    <mergeCell ref="C78:C80"/>
    <mergeCell ref="E78:K78"/>
    <mergeCell ref="M78:N79"/>
    <mergeCell ref="O78:P79"/>
    <mergeCell ref="E79:K80"/>
    <mergeCell ref="M80:N80"/>
    <mergeCell ref="O80:P80"/>
    <mergeCell ref="A76:A77"/>
    <mergeCell ref="B76:B77"/>
    <mergeCell ref="C76:C77"/>
    <mergeCell ref="E76:K77"/>
    <mergeCell ref="M76:N76"/>
    <mergeCell ref="O76:P76"/>
    <mergeCell ref="M77:N77"/>
    <mergeCell ref="O77:P77"/>
    <mergeCell ref="R78:R80"/>
    <mergeCell ref="E70:K70"/>
    <mergeCell ref="M70:P70"/>
    <mergeCell ref="A71:W71"/>
    <mergeCell ref="A72:A75"/>
    <mergeCell ref="B72:B75"/>
    <mergeCell ref="C72:C75"/>
    <mergeCell ref="E72:K72"/>
    <mergeCell ref="M72:N72"/>
    <mergeCell ref="O72:P72"/>
    <mergeCell ref="R72:R74"/>
    <mergeCell ref="S72:S73"/>
    <mergeCell ref="T72:T73"/>
    <mergeCell ref="U72:U73"/>
    <mergeCell ref="V72:V73"/>
    <mergeCell ref="W72:W73"/>
    <mergeCell ref="E73:K75"/>
    <mergeCell ref="M73:N73"/>
    <mergeCell ref="O73:P73"/>
    <mergeCell ref="M74:N74"/>
    <mergeCell ref="O74:P74"/>
    <mergeCell ref="M75:N75"/>
    <mergeCell ref="O75:P75"/>
    <mergeCell ref="T67:T69"/>
    <mergeCell ref="U67:U69"/>
    <mergeCell ref="V67:V69"/>
    <mergeCell ref="W67:W69"/>
    <mergeCell ref="E68:K68"/>
    <mergeCell ref="M68:P68"/>
    <mergeCell ref="E69:K69"/>
    <mergeCell ref="M69:P69"/>
    <mergeCell ref="T64:T66"/>
    <mergeCell ref="U64:U66"/>
    <mergeCell ref="V64:V66"/>
    <mergeCell ref="W64:W66"/>
    <mergeCell ref="E65:K65"/>
    <mergeCell ref="M65:P65"/>
    <mergeCell ref="E66:K66"/>
    <mergeCell ref="M66:P66"/>
    <mergeCell ref="A64:A69"/>
    <mergeCell ref="B64:B69"/>
    <mergeCell ref="E64:K64"/>
    <mergeCell ref="M64:P64"/>
    <mergeCell ref="R64:R66"/>
    <mergeCell ref="S64:S66"/>
    <mergeCell ref="E67:K67"/>
    <mergeCell ref="M67:P67"/>
    <mergeCell ref="R67:R69"/>
    <mergeCell ref="S67:S69"/>
    <mergeCell ref="A60:A63"/>
    <mergeCell ref="B60:B63"/>
    <mergeCell ref="C60:C63"/>
    <mergeCell ref="E60:K63"/>
    <mergeCell ref="M60:P60"/>
    <mergeCell ref="R60:R61"/>
    <mergeCell ref="M61:P61"/>
    <mergeCell ref="M62:P63"/>
    <mergeCell ref="R62:R63"/>
    <mergeCell ref="A56:A59"/>
    <mergeCell ref="B56:B59"/>
    <mergeCell ref="C56:C59"/>
    <mergeCell ref="E56:K59"/>
    <mergeCell ref="M56:P56"/>
    <mergeCell ref="R56:R57"/>
    <mergeCell ref="M57:P57"/>
    <mergeCell ref="M58:P59"/>
    <mergeCell ref="R58:R59"/>
    <mergeCell ref="A52:A55"/>
    <mergeCell ref="B52:B55"/>
    <mergeCell ref="C52:C55"/>
    <mergeCell ref="E52:K55"/>
    <mergeCell ref="M52:P52"/>
    <mergeCell ref="R52:R53"/>
    <mergeCell ref="M53:P53"/>
    <mergeCell ref="M54:P55"/>
    <mergeCell ref="R54:R55"/>
    <mergeCell ref="A47:W47"/>
    <mergeCell ref="A48:A51"/>
    <mergeCell ref="B48:B51"/>
    <mergeCell ref="C48:C51"/>
    <mergeCell ref="E48:K51"/>
    <mergeCell ref="M48:P48"/>
    <mergeCell ref="R48:R49"/>
    <mergeCell ref="M49:P49"/>
    <mergeCell ref="M50:P51"/>
    <mergeCell ref="R50:R51"/>
    <mergeCell ref="E44:K44"/>
    <mergeCell ref="M44:P44"/>
    <mergeCell ref="E45:K45"/>
    <mergeCell ref="M45:P45"/>
    <mergeCell ref="E46:K46"/>
    <mergeCell ref="M46:P46"/>
    <mergeCell ref="R39:R40"/>
    <mergeCell ref="M40:P40"/>
    <mergeCell ref="A41:A43"/>
    <mergeCell ref="B41:B43"/>
    <mergeCell ref="C41:C43"/>
    <mergeCell ref="E41:K43"/>
    <mergeCell ref="M41:P41"/>
    <mergeCell ref="M42:P42"/>
    <mergeCell ref="R42:R43"/>
    <mergeCell ref="M43:P43"/>
    <mergeCell ref="M37:P37"/>
    <mergeCell ref="A38:A40"/>
    <mergeCell ref="B38:B40"/>
    <mergeCell ref="C38:C40"/>
    <mergeCell ref="E38:K40"/>
    <mergeCell ref="M38:P38"/>
    <mergeCell ref="M39:P39"/>
    <mergeCell ref="M33:P33"/>
    <mergeCell ref="R33:R34"/>
    <mergeCell ref="M34:P34"/>
    <mergeCell ref="A35:A37"/>
    <mergeCell ref="B35:B37"/>
    <mergeCell ref="C35:C37"/>
    <mergeCell ref="E35:K37"/>
    <mergeCell ref="M35:P35"/>
    <mergeCell ref="M36:P36"/>
    <mergeCell ref="R36:R37"/>
    <mergeCell ref="P28:P31"/>
    <mergeCell ref="R28:R29"/>
    <mergeCell ref="G29:G31"/>
    <mergeCell ref="I29:I31"/>
    <mergeCell ref="R30:R31"/>
    <mergeCell ref="A32:A34"/>
    <mergeCell ref="B32:B34"/>
    <mergeCell ref="C32:C34"/>
    <mergeCell ref="E32:K34"/>
    <mergeCell ref="M32:P32"/>
    <mergeCell ref="A28:A31"/>
    <mergeCell ref="B28:B31"/>
    <mergeCell ref="C28:C31"/>
    <mergeCell ref="E28:E31"/>
    <mergeCell ref="K28:K31"/>
    <mergeCell ref="M28:M31"/>
    <mergeCell ref="K22:K26"/>
    <mergeCell ref="R22:R23"/>
    <mergeCell ref="M24:M26"/>
    <mergeCell ref="N24:N26"/>
    <mergeCell ref="O24:O26"/>
    <mergeCell ref="P24:P26"/>
    <mergeCell ref="R24:R26"/>
    <mergeCell ref="A22:A26"/>
    <mergeCell ref="B22:B26"/>
    <mergeCell ref="C22:C26"/>
    <mergeCell ref="E22:E26"/>
    <mergeCell ref="G22:G26"/>
    <mergeCell ref="I22:I26"/>
    <mergeCell ref="K17:K21"/>
    <mergeCell ref="R17:R18"/>
    <mergeCell ref="M19:M21"/>
    <mergeCell ref="N19:N21"/>
    <mergeCell ref="O19:O21"/>
    <mergeCell ref="P19:P21"/>
    <mergeCell ref="R19:R21"/>
    <mergeCell ref="A17:A21"/>
    <mergeCell ref="B17:B21"/>
    <mergeCell ref="C17:C21"/>
    <mergeCell ref="E17:E21"/>
    <mergeCell ref="G17:G21"/>
    <mergeCell ref="I17:I21"/>
    <mergeCell ref="K12:K16"/>
    <mergeCell ref="R12:R13"/>
    <mergeCell ref="M14:M16"/>
    <mergeCell ref="N14:N16"/>
    <mergeCell ref="O14:O16"/>
    <mergeCell ref="P14:P16"/>
    <mergeCell ref="R14:R16"/>
    <mergeCell ref="A12:A16"/>
    <mergeCell ref="B12:B16"/>
    <mergeCell ref="C12:C16"/>
    <mergeCell ref="E12:E16"/>
    <mergeCell ref="G12:G16"/>
    <mergeCell ref="I12:I16"/>
    <mergeCell ref="C1:U1"/>
    <mergeCell ref="V4:V5"/>
    <mergeCell ref="W4:W5"/>
    <mergeCell ref="A6:W6"/>
    <mergeCell ref="A7:A11"/>
    <mergeCell ref="B7:B11"/>
    <mergeCell ref="C7:C11"/>
    <mergeCell ref="E7:E11"/>
    <mergeCell ref="G7:G11"/>
    <mergeCell ref="I7:I11"/>
    <mergeCell ref="K7:K11"/>
    <mergeCell ref="R7:R8"/>
    <mergeCell ref="M9:M11"/>
    <mergeCell ref="N9:N11"/>
    <mergeCell ref="O9:O11"/>
    <mergeCell ref="P9:P11"/>
    <mergeCell ref="R9:R11"/>
    <mergeCell ref="T4:T5"/>
    <mergeCell ref="A3:U3"/>
    <mergeCell ref="A4:A5"/>
    <mergeCell ref="B4:B5"/>
    <mergeCell ref="C4:C5"/>
    <mergeCell ref="E4:K4"/>
    <mergeCell ref="M4:P4"/>
    <mergeCell ref="R4:R5"/>
    <mergeCell ref="S4:S5"/>
    <mergeCell ref="U4:U5"/>
  </mergeCells>
  <pageMargins left="0.39370078740157483" right="0.4" top="0.39370078740157483" bottom="0.39370078740157483" header="0.31496062992125984" footer="0.31496062992125984"/>
  <pageSetup paperSize="9" scale="2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Прайс пром.</vt:lpstr>
      <vt:lpstr>прайс пром.2</vt:lpstr>
      <vt:lpstr>прайс быт.</vt:lpstr>
      <vt:lpstr>Прайс пром. mini</vt:lpstr>
      <vt:lpstr>Прайс пром. розница</vt:lpstr>
      <vt:lpstr>прайс пром.2 розница</vt:lpstr>
      <vt:lpstr>прайс быт. розница</vt:lpstr>
      <vt:lpstr>Прайс опт полный </vt:lpstr>
      <vt:lpstr>Прайс опт кратко</vt:lpstr>
      <vt:lpstr>Прайс+15 </vt:lpstr>
      <vt:lpstr>Прайс+30</vt:lpstr>
      <vt:lpstr>Лист1</vt:lpstr>
      <vt:lpstr>E</vt:lpstr>
      <vt:lpstr>'прайс быт.'!Область_печати</vt:lpstr>
      <vt:lpstr>'прайс быт. розница'!Область_печати</vt:lpstr>
      <vt:lpstr>'Прайс опт полный '!Область_печати</vt:lpstr>
      <vt:lpstr>'Прайс пром.'!Область_печати</vt:lpstr>
      <vt:lpstr>'Прайс пром. розница'!Область_печати</vt:lpstr>
      <vt:lpstr>'прайс пром.2'!Область_печати</vt:lpstr>
      <vt:lpstr>'прайс пром.2 розница'!Область_печати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Айметов</dc:creator>
  <cp:lastModifiedBy>semenova.kv</cp:lastModifiedBy>
  <cp:lastPrinted>2014-05-22T12:26:54Z</cp:lastPrinted>
  <dcterms:created xsi:type="dcterms:W3CDTF">2005-10-13T07:16:11Z</dcterms:created>
  <dcterms:modified xsi:type="dcterms:W3CDTF">2014-05-22T12:26:56Z</dcterms:modified>
</cp:coreProperties>
</file>